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slicerCaches/slicerCache4.xml" ContentType="application/vnd.ms-excel.slicerCache+xml"/>
  <Override PartName="/xl/slicerCaches/slicerCache5.xml" ContentType="application/vnd.ms-excel.slicerCache+xml"/>
  <Override PartName="/xl/slicerCaches/slicerCache6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drawings/drawing2.xml" ContentType="application/vnd.openxmlformats-officedocument.drawing+xml"/>
  <Override PartName="/xl/pivotTables/pivotTable1.xml" ContentType="application/vnd.openxmlformats-officedocument.spreadsheetml.pivotTable+xml"/>
  <Override PartName="/xl/drawings/drawing3.xml" ContentType="application/vnd.openxmlformats-officedocument.drawing+xml"/>
  <Override PartName="/xl/slicers/slicer1.xml" ContentType="application/vnd.ms-excel.slicer+xml"/>
  <Override PartName="/xl/pivotTables/pivotTable2.xml" ContentType="application/vnd.openxmlformats-officedocument.spreadsheetml.pivotTable+xml"/>
  <Override PartName="/xl/drawings/drawing4.xml" ContentType="application/vnd.openxmlformats-officedocument.drawing+xml"/>
  <Override PartName="/xl/slicers/slicer2.xml" ContentType="application/vnd.ms-excel.slicer+xml"/>
  <Override PartName="/xl/pivotTables/pivotTable3.xml" ContentType="application/vnd.openxmlformats-officedocument.spreadsheetml.pivotTable+xml"/>
  <Override PartName="/xl/drawings/drawing5.xml" ContentType="application/vnd.openxmlformats-officedocument.drawing+xml"/>
  <Override PartName="/xl/slicers/slicer3.xml" ContentType="application/vnd.ms-excel.slicer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Lucie Kozáková\Documents\CB AUDIT\Templates\Vykazy a priloha\"/>
    </mc:Choice>
  </mc:AlternateContent>
  <xr:revisionPtr revIDLastSave="0" documentId="13_ncr:1_{B8C1EB49-CDF0-4F04-ACE8-F2A6B066BB6A}" xr6:coauthVersionLast="47" xr6:coauthVersionMax="47" xr10:uidLastSave="{00000000-0000-0000-0000-000000000000}"/>
  <bookViews>
    <workbookView xWindow="-108" yWindow="-108" windowWidth="23256" windowHeight="12456" tabRatio="797" activeTab="1" xr2:uid="{00000000-000D-0000-FFFF-FFFF00000000}"/>
  </bookViews>
  <sheets>
    <sheet name="postup" sheetId="20" r:id="rId1"/>
    <sheet name="INDEX" sheetId="6" r:id="rId2"/>
    <sheet name="DATA" sheetId="4" r:id="rId3"/>
    <sheet name="AKTIVA" sheetId="9" r:id="rId4"/>
    <sheet name="PASIVA" sheetId="13" r:id="rId5"/>
    <sheet name="VYSLEDOVKA" sheetId="15" r:id="rId6"/>
    <sheet name="proc_exc" sheetId="31" state="hidden" r:id="rId7"/>
    <sheet name="radky_R" sheetId="5" state="hidden" r:id="rId8"/>
    <sheet name="CASH FLOW" sheetId="30" r:id="rId9"/>
    <sheet name="CF calc" sheetId="21" r:id="rId10"/>
    <sheet name="p_analyza" sheetId="19" state="hidden" r:id="rId11"/>
    <sheet name="p_procesy" sheetId="32" state="hidden" r:id="rId12"/>
    <sheet name="MAP" sheetId="27" r:id="rId13"/>
    <sheet name="ucty_synt" sheetId="1" state="hidden" r:id="rId14"/>
    <sheet name="radky_V" sheetId="16" state="hidden" r:id="rId15"/>
    <sheet name="radky_CF" sheetId="29" state="hidden" r:id="rId16"/>
  </sheets>
  <externalReferences>
    <externalReference r:id="rId17"/>
    <externalReference r:id="rId18"/>
    <externalReference r:id="rId19"/>
  </externalReferences>
  <definedNames>
    <definedName name="_xlnm._FilterDatabase" localSheetId="3" hidden="1">AKTIVA!$M$7:$M$84</definedName>
    <definedName name="_xlnm._FilterDatabase" localSheetId="2" hidden="1">DATA!$C$1:$Y$200</definedName>
    <definedName name="_xlnm._FilterDatabase" localSheetId="4" hidden="1">PASIVA!$L$7:$L$72</definedName>
    <definedName name="_xlnm._FilterDatabase" localSheetId="15" hidden="1">'radky_CF'!$A$1:$K$11</definedName>
    <definedName name="_xlnm._FilterDatabase" localSheetId="7" hidden="1">'radky_R'!$A$1:$O$143</definedName>
    <definedName name="_xlnm._FilterDatabase" localSheetId="13" hidden="1">ucty_synt!$A$1:$S$348</definedName>
    <definedName name="_xlnm._FilterDatabase" localSheetId="5" hidden="1">VYSLEDOVKA!$L$7:$L$63</definedName>
    <definedName name="jazyk" localSheetId="9">[1]INDEX!$C$19</definedName>
    <definedName name="jazyk" localSheetId="12">[2]INDEX!$C$19</definedName>
    <definedName name="jazyk" localSheetId="0">[3]INDEX!$C$19</definedName>
    <definedName name="jazyk">INDEX!$E$17</definedName>
    <definedName name="_xlnm.Print_Titles" localSheetId="3">AKTIVA!$4:$7</definedName>
    <definedName name="_xlnm.Print_Titles" localSheetId="8">'CASH FLOW'!$4:$7</definedName>
    <definedName name="_xlnm.Print_Titles" localSheetId="2">DATA!$1:$1</definedName>
    <definedName name="_xlnm.Print_Titles" localSheetId="4">PASIVA!$4:$7</definedName>
    <definedName name="_xlnm.Print_Titles" localSheetId="5">VYSLEDOVKA!$5:$7</definedName>
    <definedName name="_xlnm.Print_Area" localSheetId="3">AKTIVA!$G:$R</definedName>
    <definedName name="_xlnm.Print_Area" localSheetId="8">'CASH FLOW'!$G$1:$N$49</definedName>
    <definedName name="_xlnm.Print_Area" localSheetId="1">INDEX!$B:$H</definedName>
    <definedName name="_xlnm.Print_Area" localSheetId="4">PASIVA!$G:$O</definedName>
    <definedName name="_xlnm.Print_Area" localSheetId="5">VYSLEDOVKA!$G:$O</definedName>
    <definedName name="Průřez_část">#N/A</definedName>
    <definedName name="Průřez_část1">#N/A</definedName>
    <definedName name="Průřez_část2">#N/A</definedName>
    <definedName name="Průřez_výkaz">#N/A</definedName>
    <definedName name="Průřez_výkaz1">#N/A</definedName>
    <definedName name="Průřez_výkaz2">#N/A</definedName>
    <definedName name="zaokr" localSheetId="9">[1]INDEX!$D$17</definedName>
    <definedName name="zaokr" localSheetId="12">[2]INDEX!$D$17</definedName>
    <definedName name="zaokr" localSheetId="0">[3]INDEX!$D$17</definedName>
    <definedName name="zaokr">INDEX!$F$15</definedName>
  </definedNames>
  <calcPr calcId="191029"/>
  <pivotCaches>
    <pivotCache cacheId="0" r:id="rId20"/>
  </pivotCaches>
  <extLst>
    <ext xmlns:x14="http://schemas.microsoft.com/office/spreadsheetml/2009/9/main" uri="{BBE1A952-AA13-448e-AADC-164F8A28A991}">
      <x14:slicerCaches>
        <x14:slicerCache r:id="rId21"/>
        <x14:slicerCache r:id="rId22"/>
        <x14:slicerCache r:id="rId23"/>
        <x14:slicerCache r:id="rId24"/>
        <x14:slicerCache r:id="rId25"/>
        <x14:slicerCache r:id="rId26"/>
      </x14:slicerCaches>
    </ext>
    <ext xmlns:x14="http://schemas.microsoft.com/office/spreadsheetml/2009/9/main" uri="{79F54976-1DA5-4618-B147-4CDE4B953A38}">
      <x14:workbookPr/>
    </ext>
  </extLst>
</workbook>
</file>

<file path=xl/calcChain.xml><?xml version="1.0" encoding="utf-8"?>
<calcChain xmlns="http://schemas.openxmlformats.org/spreadsheetml/2006/main">
  <c r="M2" i="5" l="1"/>
  <c r="N2" i="5"/>
  <c r="O2" i="5"/>
  <c r="M3" i="5"/>
  <c r="N3" i="5"/>
  <c r="O3" i="5"/>
  <c r="M4" i="5"/>
  <c r="N4" i="5"/>
  <c r="O4" i="5"/>
  <c r="M5" i="5"/>
  <c r="N5" i="5"/>
  <c r="O5" i="5"/>
  <c r="M6" i="5"/>
  <c r="M7" i="5" s="1"/>
  <c r="M8" i="5" s="1"/>
  <c r="M9" i="5" s="1"/>
  <c r="M10" i="5" s="1"/>
  <c r="M11" i="5" s="1"/>
  <c r="M12" i="5" s="1"/>
  <c r="M13" i="5" s="1"/>
  <c r="M14" i="5" s="1"/>
  <c r="N6" i="5"/>
  <c r="O6" i="5"/>
  <c r="N7" i="5"/>
  <c r="O7" i="5"/>
  <c r="N8" i="5"/>
  <c r="O8" i="5"/>
  <c r="N9" i="5"/>
  <c r="O9" i="5"/>
  <c r="N10" i="5"/>
  <c r="O10" i="5"/>
  <c r="N11" i="5"/>
  <c r="O11" i="5"/>
  <c r="N12" i="5"/>
  <c r="O12" i="5"/>
  <c r="N13" i="5"/>
  <c r="O13" i="5"/>
  <c r="N14" i="5"/>
  <c r="O14" i="5"/>
  <c r="M15" i="5"/>
  <c r="N15" i="5"/>
  <c r="O15" i="5"/>
  <c r="M16" i="5"/>
  <c r="N16" i="5"/>
  <c r="O16" i="5"/>
  <c r="M17" i="5"/>
  <c r="M18" i="5" s="1"/>
  <c r="M19" i="5" s="1"/>
  <c r="M20" i="5" s="1"/>
  <c r="N17" i="5"/>
  <c r="O17" i="5"/>
  <c r="N18" i="5"/>
  <c r="O18" i="5"/>
  <c r="N19" i="5"/>
  <c r="O19" i="5"/>
  <c r="N20" i="5"/>
  <c r="O20" i="5"/>
  <c r="M21" i="5"/>
  <c r="N21" i="5"/>
  <c r="O21" i="5"/>
  <c r="M22" i="5"/>
  <c r="M23" i="5" s="1"/>
  <c r="M24" i="5" s="1"/>
  <c r="N22" i="5"/>
  <c r="O22" i="5"/>
  <c r="N23" i="5"/>
  <c r="O23" i="5"/>
  <c r="N24" i="5"/>
  <c r="O24" i="5"/>
  <c r="M25" i="5"/>
  <c r="N25" i="5"/>
  <c r="O25" i="5"/>
  <c r="M26" i="5"/>
  <c r="M27" i="5" s="1"/>
  <c r="N26" i="5"/>
  <c r="O26" i="5"/>
  <c r="N27" i="5"/>
  <c r="O27" i="5"/>
  <c r="M28" i="5"/>
  <c r="N28" i="5"/>
  <c r="O28" i="5"/>
  <c r="M29" i="5"/>
  <c r="M31" i="5" s="1"/>
  <c r="M33" i="5" s="1"/>
  <c r="N29" i="5"/>
  <c r="O29" i="5"/>
  <c r="N30" i="5"/>
  <c r="O30" i="5"/>
  <c r="N31" i="5"/>
  <c r="O31" i="5"/>
  <c r="N32" i="5"/>
  <c r="O32" i="5"/>
  <c r="N33" i="5"/>
  <c r="O33" i="5"/>
  <c r="N34" i="5"/>
  <c r="O34" i="5"/>
  <c r="N35" i="5"/>
  <c r="O35" i="5"/>
  <c r="N36" i="5"/>
  <c r="O36" i="5"/>
  <c r="N37" i="5"/>
  <c r="O37" i="5"/>
  <c r="M38" i="5"/>
  <c r="N38" i="5"/>
  <c r="O38" i="5"/>
  <c r="M39" i="5"/>
  <c r="N39" i="5"/>
  <c r="O39" i="5"/>
  <c r="M40" i="5"/>
  <c r="M41" i="5" s="1"/>
  <c r="N40" i="5"/>
  <c r="O40" i="5"/>
  <c r="N41" i="5"/>
  <c r="O41" i="5"/>
  <c r="M42" i="5"/>
  <c r="N42" i="5"/>
  <c r="O42" i="5"/>
  <c r="M43" i="5"/>
  <c r="M44" i="5" s="1"/>
  <c r="M45" i="5" s="1"/>
  <c r="M46" i="5" s="1"/>
  <c r="N43" i="5"/>
  <c r="O43" i="5"/>
  <c r="N44" i="5"/>
  <c r="O44" i="5"/>
  <c r="N45" i="5"/>
  <c r="O45" i="5"/>
  <c r="N46" i="5"/>
  <c r="O46" i="5"/>
  <c r="M47" i="5"/>
  <c r="N47" i="5"/>
  <c r="O47" i="5"/>
  <c r="M48" i="5"/>
  <c r="N48" i="5"/>
  <c r="O48" i="5"/>
  <c r="M49" i="5"/>
  <c r="M50" i="5" s="1"/>
  <c r="M51" i="5" s="1"/>
  <c r="M52" i="5" s="1"/>
  <c r="M54" i="5" s="1"/>
  <c r="M55" i="5" s="1"/>
  <c r="M56" i="5" s="1"/>
  <c r="M57" i="5" s="1"/>
  <c r="N49" i="5"/>
  <c r="O49" i="5"/>
  <c r="N50" i="5"/>
  <c r="O50" i="5"/>
  <c r="N51" i="5"/>
  <c r="O51" i="5"/>
  <c r="N52" i="5"/>
  <c r="O52" i="5"/>
  <c r="M53" i="5"/>
  <c r="N53" i="5"/>
  <c r="O53" i="5"/>
  <c r="N54" i="5"/>
  <c r="O54" i="5"/>
  <c r="N55" i="5"/>
  <c r="O55" i="5"/>
  <c r="N56" i="5"/>
  <c r="O56" i="5"/>
  <c r="N57" i="5"/>
  <c r="O57" i="5"/>
  <c r="M58" i="5"/>
  <c r="N58" i="5"/>
  <c r="O58" i="5"/>
  <c r="M59" i="5"/>
  <c r="M60" i="5" s="1"/>
  <c r="M61" i="5" s="1"/>
  <c r="M62" i="5" s="1"/>
  <c r="M63" i="5" s="1"/>
  <c r="M64" i="5" s="1"/>
  <c r="M65" i="5" s="1"/>
  <c r="M66" i="5" s="1"/>
  <c r="M67" i="5" s="1"/>
  <c r="M68" i="5" s="1"/>
  <c r="N59" i="5"/>
  <c r="O59" i="5"/>
  <c r="N60" i="5"/>
  <c r="O60" i="5"/>
  <c r="N61" i="5"/>
  <c r="O61" i="5"/>
  <c r="N62" i="5"/>
  <c r="O62" i="5"/>
  <c r="N63" i="5"/>
  <c r="O63" i="5"/>
  <c r="N64" i="5"/>
  <c r="O64" i="5"/>
  <c r="N65" i="5"/>
  <c r="O65" i="5"/>
  <c r="N66" i="5"/>
  <c r="O66" i="5"/>
  <c r="N67" i="5"/>
  <c r="O67" i="5"/>
  <c r="N68" i="5"/>
  <c r="O68" i="5"/>
  <c r="M69" i="5"/>
  <c r="N69" i="5"/>
  <c r="O69" i="5"/>
  <c r="M70" i="5"/>
  <c r="M71" i="5" s="1"/>
  <c r="N70" i="5"/>
  <c r="O70" i="5"/>
  <c r="N71" i="5"/>
  <c r="O71" i="5"/>
  <c r="M72" i="5"/>
  <c r="N72" i="5"/>
  <c r="O72" i="5"/>
  <c r="M73" i="5"/>
  <c r="M74" i="5" s="1"/>
  <c r="N73" i="5"/>
  <c r="O73" i="5"/>
  <c r="N74" i="5"/>
  <c r="O74" i="5"/>
  <c r="M75" i="5"/>
  <c r="N75" i="5"/>
  <c r="O75" i="5"/>
  <c r="M76" i="5"/>
  <c r="M77" i="5" s="1"/>
  <c r="M78" i="5" s="1"/>
  <c r="N76" i="5"/>
  <c r="O76" i="5"/>
  <c r="N77" i="5"/>
  <c r="O77" i="5"/>
  <c r="N78" i="5"/>
  <c r="O78" i="5"/>
  <c r="M79" i="5"/>
  <c r="N79" i="5"/>
  <c r="O79" i="5"/>
  <c r="M80" i="5"/>
  <c r="N80" i="5"/>
  <c r="O80" i="5"/>
  <c r="M81" i="5"/>
  <c r="N81" i="5"/>
  <c r="O81" i="5"/>
  <c r="M82" i="5"/>
  <c r="M83" i="5" s="1"/>
  <c r="M84" i="5" s="1"/>
  <c r="N82" i="5"/>
  <c r="O82" i="5"/>
  <c r="N83" i="5"/>
  <c r="O83" i="5"/>
  <c r="N84" i="5"/>
  <c r="O84" i="5"/>
  <c r="M85" i="5"/>
  <c r="N85" i="5"/>
  <c r="O85" i="5"/>
  <c r="M86" i="5"/>
  <c r="M87" i="5" s="1"/>
  <c r="M88" i="5" s="1"/>
  <c r="M89" i="5" s="1"/>
  <c r="M90" i="5" s="1"/>
  <c r="M91" i="5" s="1"/>
  <c r="M92" i="5" s="1"/>
  <c r="N86" i="5"/>
  <c r="O86" i="5"/>
  <c r="N87" i="5"/>
  <c r="O87" i="5"/>
  <c r="N88" i="5"/>
  <c r="O88" i="5"/>
  <c r="N89" i="5"/>
  <c r="O89" i="5"/>
  <c r="N90" i="5"/>
  <c r="O90" i="5"/>
  <c r="N91" i="5"/>
  <c r="O91" i="5"/>
  <c r="N92" i="5"/>
  <c r="O92" i="5"/>
  <c r="M93" i="5"/>
  <c r="N93" i="5"/>
  <c r="O93" i="5"/>
  <c r="M94" i="5"/>
  <c r="N94" i="5"/>
  <c r="O94" i="5"/>
  <c r="M95" i="5"/>
  <c r="N95" i="5"/>
  <c r="O95" i="5"/>
  <c r="M96" i="5"/>
  <c r="N96" i="5"/>
  <c r="O96" i="5"/>
  <c r="M97" i="5"/>
  <c r="M98" i="5" s="1"/>
  <c r="N97" i="5"/>
  <c r="O97" i="5"/>
  <c r="N98" i="5"/>
  <c r="O98" i="5"/>
  <c r="M99" i="5"/>
  <c r="N99" i="5"/>
  <c r="O99" i="5"/>
  <c r="M100" i="5"/>
  <c r="N100" i="5"/>
  <c r="O100" i="5"/>
  <c r="M101" i="5"/>
  <c r="N101" i="5"/>
  <c r="O101" i="5"/>
  <c r="M102" i="5"/>
  <c r="N102" i="5"/>
  <c r="O102" i="5"/>
  <c r="M103" i="5"/>
  <c r="M104" i="5" s="1"/>
  <c r="M105" i="5" s="1"/>
  <c r="M106" i="5" s="1"/>
  <c r="N103" i="5"/>
  <c r="O103" i="5"/>
  <c r="N104" i="5"/>
  <c r="O104" i="5"/>
  <c r="N105" i="5"/>
  <c r="O105" i="5"/>
  <c r="N106" i="5"/>
  <c r="O106" i="5"/>
  <c r="M107" i="5"/>
  <c r="N107" i="5"/>
  <c r="O107" i="5"/>
  <c r="M108" i="5"/>
  <c r="N108" i="5"/>
  <c r="O108" i="5"/>
  <c r="M109" i="5"/>
  <c r="M110" i="5" s="1"/>
  <c r="M111" i="5" s="1"/>
  <c r="M112" i="5" s="1"/>
  <c r="M113" i="5" s="1"/>
  <c r="M114" i="5" s="1"/>
  <c r="M115" i="5" s="1"/>
  <c r="M116" i="5" s="1"/>
  <c r="M117" i="5" s="1"/>
  <c r="M118" i="5" s="1"/>
  <c r="M119" i="5" s="1"/>
  <c r="M120" i="5" s="1"/>
  <c r="M121" i="5" s="1"/>
  <c r="M122" i="5" s="1"/>
  <c r="N109" i="5"/>
  <c r="O109" i="5"/>
  <c r="N110" i="5"/>
  <c r="O110" i="5"/>
  <c r="N111" i="5"/>
  <c r="O111" i="5"/>
  <c r="N112" i="5"/>
  <c r="O112" i="5"/>
  <c r="N113" i="5"/>
  <c r="O113" i="5"/>
  <c r="N114" i="5"/>
  <c r="O114" i="5"/>
  <c r="N115" i="5"/>
  <c r="O115" i="5"/>
  <c r="N116" i="5"/>
  <c r="O116" i="5"/>
  <c r="N117" i="5"/>
  <c r="O117" i="5"/>
  <c r="N118" i="5"/>
  <c r="O118" i="5"/>
  <c r="N119" i="5"/>
  <c r="O119" i="5"/>
  <c r="N120" i="5"/>
  <c r="O120" i="5"/>
  <c r="N121" i="5"/>
  <c r="O121" i="5"/>
  <c r="N122" i="5"/>
  <c r="O122" i="5"/>
  <c r="M123" i="5"/>
  <c r="N123" i="5"/>
  <c r="O123" i="5"/>
  <c r="M124" i="5"/>
  <c r="M125" i="5" s="1"/>
  <c r="M126" i="5" s="1"/>
  <c r="M127" i="5" s="1"/>
  <c r="M128" i="5" s="1"/>
  <c r="M129" i="5" s="1"/>
  <c r="M130" i="5" s="1"/>
  <c r="M131" i="5" s="1"/>
  <c r="M132" i="5" s="1"/>
  <c r="M133" i="5" s="1"/>
  <c r="M134" i="5" s="1"/>
  <c r="M135" i="5" s="1"/>
  <c r="M136" i="5" s="1"/>
  <c r="M137" i="5" s="1"/>
  <c r="M138" i="5" s="1"/>
  <c r="M139" i="5" s="1"/>
  <c r="M140" i="5" s="1"/>
  <c r="N124" i="5"/>
  <c r="O124" i="5"/>
  <c r="N125" i="5"/>
  <c r="O125" i="5"/>
  <c r="N126" i="5"/>
  <c r="O126" i="5"/>
  <c r="N127" i="5"/>
  <c r="O127" i="5"/>
  <c r="N128" i="5"/>
  <c r="O128" i="5"/>
  <c r="N129" i="5"/>
  <c r="O129" i="5"/>
  <c r="N130" i="5"/>
  <c r="O130" i="5"/>
  <c r="N131" i="5"/>
  <c r="O131" i="5"/>
  <c r="N132" i="5"/>
  <c r="O132" i="5"/>
  <c r="N133" i="5"/>
  <c r="O133" i="5"/>
  <c r="N134" i="5"/>
  <c r="O134" i="5"/>
  <c r="N135" i="5"/>
  <c r="O135" i="5"/>
  <c r="N136" i="5"/>
  <c r="O136" i="5"/>
  <c r="N137" i="5"/>
  <c r="O137" i="5"/>
  <c r="N138" i="5"/>
  <c r="O138" i="5"/>
  <c r="N139" i="5"/>
  <c r="O139" i="5"/>
  <c r="N140" i="5"/>
  <c r="O140" i="5"/>
  <c r="M141" i="5"/>
  <c r="N141" i="5"/>
  <c r="O141" i="5"/>
  <c r="M142" i="5"/>
  <c r="M143" i="5" s="1"/>
  <c r="N142" i="5"/>
  <c r="O142" i="5"/>
  <c r="N143" i="5"/>
  <c r="O143" i="5"/>
  <c r="M30" i="5" l="1"/>
  <c r="M35" i="5" s="1"/>
  <c r="M36" i="5" s="1"/>
  <c r="M34" i="5"/>
  <c r="M37" i="5" l="1"/>
  <c r="M32" i="5"/>
  <c r="J195" i="4" l="1"/>
  <c r="J196" i="4"/>
  <c r="J197" i="4"/>
  <c r="J198" i="4"/>
  <c r="J199" i="4"/>
  <c r="J200" i="4"/>
  <c r="K195" i="4"/>
  <c r="Z195" i="4" s="1"/>
  <c r="AA195" i="4" s="1"/>
  <c r="K196" i="4"/>
  <c r="K197" i="4"/>
  <c r="Z197" i="4" s="1"/>
  <c r="AA197" i="4" s="1"/>
  <c r="K198" i="4"/>
  <c r="Z198" i="4" s="1"/>
  <c r="AA198" i="4" s="1"/>
  <c r="K199" i="4"/>
  <c r="Z199" i="4" s="1"/>
  <c r="AA199" i="4" s="1"/>
  <c r="K200" i="4"/>
  <c r="L195" i="4"/>
  <c r="L196" i="4"/>
  <c r="L197" i="4"/>
  <c r="L198" i="4"/>
  <c r="L199" i="4"/>
  <c r="L200" i="4"/>
  <c r="N195" i="4"/>
  <c r="N196" i="4"/>
  <c r="N197" i="4"/>
  <c r="N198" i="4"/>
  <c r="N199" i="4"/>
  <c r="N200" i="4"/>
  <c r="O195" i="4"/>
  <c r="O196" i="4"/>
  <c r="O197" i="4"/>
  <c r="O198" i="4"/>
  <c r="O199" i="4"/>
  <c r="O200" i="4"/>
  <c r="P195" i="4"/>
  <c r="P196" i="4"/>
  <c r="P197" i="4"/>
  <c r="P198" i="4"/>
  <c r="P199" i="4"/>
  <c r="P200" i="4"/>
  <c r="Q195" i="4"/>
  <c r="Q196" i="4"/>
  <c r="Q197" i="4"/>
  <c r="Q198" i="4"/>
  <c r="Q199" i="4"/>
  <c r="Q200" i="4"/>
  <c r="U195" i="4"/>
  <c r="U196" i="4"/>
  <c r="U197" i="4"/>
  <c r="U198" i="4"/>
  <c r="U199" i="4"/>
  <c r="U200" i="4"/>
  <c r="V195" i="4"/>
  <c r="V196" i="4"/>
  <c r="V197" i="4"/>
  <c r="V198" i="4"/>
  <c r="V199" i="4"/>
  <c r="V200" i="4"/>
  <c r="W195" i="4"/>
  <c r="W196" i="4"/>
  <c r="W197" i="4"/>
  <c r="W198" i="4"/>
  <c r="W199" i="4"/>
  <c r="W200" i="4"/>
  <c r="X195" i="4"/>
  <c r="X196" i="4"/>
  <c r="X197" i="4"/>
  <c r="X198" i="4"/>
  <c r="X199" i="4"/>
  <c r="X200" i="4"/>
  <c r="Z196" i="4"/>
  <c r="AA196" i="4" s="1"/>
  <c r="Z200" i="4"/>
  <c r="AA200" i="4" s="1"/>
  <c r="J168" i="4"/>
  <c r="J169" i="4"/>
  <c r="J170" i="4"/>
  <c r="J171" i="4"/>
  <c r="J172" i="4"/>
  <c r="J173" i="4"/>
  <c r="J174" i="4"/>
  <c r="J175" i="4"/>
  <c r="J176" i="4"/>
  <c r="J177" i="4"/>
  <c r="J178" i="4"/>
  <c r="J179" i="4"/>
  <c r="J180" i="4"/>
  <c r="J181" i="4"/>
  <c r="J182" i="4"/>
  <c r="J183" i="4"/>
  <c r="J184" i="4"/>
  <c r="J185" i="4"/>
  <c r="J186" i="4"/>
  <c r="J187" i="4"/>
  <c r="J188" i="4"/>
  <c r="J189" i="4"/>
  <c r="J190" i="4"/>
  <c r="J191" i="4"/>
  <c r="J192" i="4"/>
  <c r="J193" i="4"/>
  <c r="J194" i="4"/>
  <c r="K168" i="4"/>
  <c r="K169" i="4"/>
  <c r="K170" i="4"/>
  <c r="L170" i="4" s="1"/>
  <c r="K171" i="4"/>
  <c r="Z171" i="4" s="1"/>
  <c r="AA171" i="4" s="1"/>
  <c r="K172" i="4"/>
  <c r="K173" i="4"/>
  <c r="K174" i="4"/>
  <c r="K175" i="4"/>
  <c r="Z175" i="4" s="1"/>
  <c r="AA175" i="4" s="1"/>
  <c r="K176" i="4"/>
  <c r="K177" i="4"/>
  <c r="K178" i="4"/>
  <c r="K179" i="4"/>
  <c r="Z179" i="4" s="1"/>
  <c r="AA179" i="4" s="1"/>
  <c r="K180" i="4"/>
  <c r="K181" i="4"/>
  <c r="L181" i="4" s="1"/>
  <c r="K182" i="4"/>
  <c r="K183" i="4"/>
  <c r="Z183" i="4" s="1"/>
  <c r="AA183" i="4" s="1"/>
  <c r="K184" i="4"/>
  <c r="K185" i="4"/>
  <c r="K186" i="4"/>
  <c r="Z186" i="4" s="1"/>
  <c r="AA186" i="4" s="1"/>
  <c r="K187" i="4"/>
  <c r="Z187" i="4" s="1"/>
  <c r="AA187" i="4" s="1"/>
  <c r="K188" i="4"/>
  <c r="K189" i="4"/>
  <c r="K190" i="4"/>
  <c r="K191" i="4"/>
  <c r="Z191" i="4" s="1"/>
  <c r="AA191" i="4" s="1"/>
  <c r="K192" i="4"/>
  <c r="K193" i="4"/>
  <c r="X193" i="4" s="1"/>
  <c r="K194" i="4"/>
  <c r="L171" i="4"/>
  <c r="L175" i="4"/>
  <c r="L178" i="4"/>
  <c r="L179" i="4"/>
  <c r="L183" i="4"/>
  <c r="L185" i="4"/>
  <c r="L186" i="4"/>
  <c r="L187" i="4"/>
  <c r="L191" i="4"/>
  <c r="L193" i="4"/>
  <c r="O170" i="4"/>
  <c r="O171" i="4"/>
  <c r="O175" i="4"/>
  <c r="O177" i="4"/>
  <c r="O179" i="4"/>
  <c r="O183" i="4"/>
  <c r="O186" i="4"/>
  <c r="O187" i="4"/>
  <c r="O191" i="4"/>
  <c r="O193" i="4"/>
  <c r="P170" i="4"/>
  <c r="P171" i="4"/>
  <c r="P175" i="4"/>
  <c r="P177" i="4"/>
  <c r="P179" i="4"/>
  <c r="P183" i="4"/>
  <c r="P186" i="4"/>
  <c r="P187" i="4"/>
  <c r="P191" i="4"/>
  <c r="P193" i="4"/>
  <c r="Q170" i="4"/>
  <c r="Q171" i="4"/>
  <c r="Q175" i="4"/>
  <c r="Q177" i="4"/>
  <c r="Q179" i="4"/>
  <c r="Q183" i="4"/>
  <c r="Q186" i="4"/>
  <c r="Q187" i="4"/>
  <c r="Q191" i="4"/>
  <c r="Q193" i="4"/>
  <c r="V179" i="4"/>
  <c r="X171" i="4"/>
  <c r="X174" i="4"/>
  <c r="X175" i="4"/>
  <c r="X179" i="4"/>
  <c r="X181" i="4"/>
  <c r="X183" i="4"/>
  <c r="X187" i="4"/>
  <c r="X190" i="4"/>
  <c r="X191" i="4"/>
  <c r="Z177" i="4"/>
  <c r="AA177" i="4" s="1"/>
  <c r="Z193" i="4"/>
  <c r="AA193" i="4" s="1"/>
  <c r="J151" i="4"/>
  <c r="J152" i="4"/>
  <c r="J153" i="4"/>
  <c r="J154" i="4"/>
  <c r="J155" i="4"/>
  <c r="J156" i="4"/>
  <c r="J157" i="4"/>
  <c r="J158" i="4"/>
  <c r="J159" i="4"/>
  <c r="J160" i="4"/>
  <c r="J161" i="4"/>
  <c r="J162" i="4"/>
  <c r="J163" i="4"/>
  <c r="J164" i="4"/>
  <c r="J165" i="4"/>
  <c r="J166" i="4"/>
  <c r="J167" i="4"/>
  <c r="K151" i="4"/>
  <c r="K152" i="4"/>
  <c r="Z152" i="4" s="1"/>
  <c r="AA152" i="4" s="1"/>
  <c r="K153" i="4"/>
  <c r="Z153" i="4" s="1"/>
  <c r="AA153" i="4" s="1"/>
  <c r="K154" i="4"/>
  <c r="K155" i="4"/>
  <c r="K156" i="4"/>
  <c r="Z156" i="4" s="1"/>
  <c r="AA156" i="4" s="1"/>
  <c r="K157" i="4"/>
  <c r="Z157" i="4" s="1"/>
  <c r="AA157" i="4" s="1"/>
  <c r="K158" i="4"/>
  <c r="K159" i="4"/>
  <c r="K160" i="4"/>
  <c r="Z160" i="4" s="1"/>
  <c r="AA160" i="4" s="1"/>
  <c r="K161" i="4"/>
  <c r="Z161" i="4" s="1"/>
  <c r="AA161" i="4" s="1"/>
  <c r="K162" i="4"/>
  <c r="Z162" i="4" s="1"/>
  <c r="AA162" i="4" s="1"/>
  <c r="K163" i="4"/>
  <c r="K164" i="4"/>
  <c r="Z164" i="4" s="1"/>
  <c r="AA164" i="4" s="1"/>
  <c r="K165" i="4"/>
  <c r="Z165" i="4" s="1"/>
  <c r="AA165" i="4" s="1"/>
  <c r="K166" i="4"/>
  <c r="K167" i="4"/>
  <c r="L153" i="4"/>
  <c r="L155" i="4"/>
  <c r="L156" i="4"/>
  <c r="L157" i="4"/>
  <c r="L161" i="4"/>
  <c r="L163" i="4"/>
  <c r="O153" i="4"/>
  <c r="O156" i="4"/>
  <c r="O157" i="4"/>
  <c r="O160" i="4"/>
  <c r="O161" i="4"/>
  <c r="O163" i="4"/>
  <c r="O164" i="4"/>
  <c r="O165" i="4"/>
  <c r="P151" i="4"/>
  <c r="P152" i="4"/>
  <c r="P153" i="4"/>
  <c r="P156" i="4"/>
  <c r="P157" i="4"/>
  <c r="P160" i="4"/>
  <c r="P161" i="4"/>
  <c r="P163" i="4"/>
  <c r="P164" i="4"/>
  <c r="P165" i="4"/>
  <c r="P167" i="4"/>
  <c r="Q151" i="4"/>
  <c r="Q152" i="4"/>
  <c r="Q153" i="4"/>
  <c r="Q155" i="4"/>
  <c r="Q156" i="4"/>
  <c r="Q157" i="4"/>
  <c r="Q160" i="4"/>
  <c r="Q161" i="4"/>
  <c r="Q164" i="4"/>
  <c r="Q165" i="4"/>
  <c r="Q167" i="4"/>
  <c r="X152" i="4"/>
  <c r="X153" i="4"/>
  <c r="X155" i="4"/>
  <c r="X156" i="4"/>
  <c r="X157" i="4"/>
  <c r="X159" i="4"/>
  <c r="X160" i="4"/>
  <c r="X161" i="4"/>
  <c r="X164" i="4"/>
  <c r="X165" i="4"/>
  <c r="Z151" i="4"/>
  <c r="AA151" i="4" s="1"/>
  <c r="Z155" i="4"/>
  <c r="AA155" i="4" s="1"/>
  <c r="Z163" i="4"/>
  <c r="AA163" i="4" s="1"/>
  <c r="Z167" i="4"/>
  <c r="AA167" i="4" s="1"/>
  <c r="J4" i="4"/>
  <c r="J5" i="4"/>
  <c r="J6" i="4"/>
  <c r="J7" i="4"/>
  <c r="J8" i="4"/>
  <c r="J9" i="4"/>
  <c r="J10" i="4"/>
  <c r="J11" i="4"/>
  <c r="J12" i="4"/>
  <c r="J13" i="4"/>
  <c r="J14" i="4"/>
  <c r="J15" i="4"/>
  <c r="J16" i="4"/>
  <c r="J17" i="4"/>
  <c r="J18" i="4"/>
  <c r="J19" i="4"/>
  <c r="J20" i="4"/>
  <c r="J21" i="4"/>
  <c r="J22" i="4"/>
  <c r="J23" i="4"/>
  <c r="J24" i="4"/>
  <c r="J25" i="4"/>
  <c r="J26" i="4"/>
  <c r="J27" i="4"/>
  <c r="J28" i="4"/>
  <c r="J29" i="4"/>
  <c r="J30" i="4"/>
  <c r="J31" i="4"/>
  <c r="J32" i="4"/>
  <c r="J33" i="4"/>
  <c r="J34" i="4"/>
  <c r="J35" i="4"/>
  <c r="J36" i="4"/>
  <c r="J37" i="4"/>
  <c r="J38" i="4"/>
  <c r="J39" i="4"/>
  <c r="J40" i="4"/>
  <c r="J41" i="4"/>
  <c r="J42" i="4"/>
  <c r="J43" i="4"/>
  <c r="J44" i="4"/>
  <c r="J45" i="4"/>
  <c r="J46" i="4"/>
  <c r="J47" i="4"/>
  <c r="J48" i="4"/>
  <c r="J49" i="4"/>
  <c r="J50" i="4"/>
  <c r="J51" i="4"/>
  <c r="J52" i="4"/>
  <c r="J53" i="4"/>
  <c r="J54" i="4"/>
  <c r="J55" i="4"/>
  <c r="J56" i="4"/>
  <c r="J57" i="4"/>
  <c r="J58" i="4"/>
  <c r="J59" i="4"/>
  <c r="J60" i="4"/>
  <c r="J61" i="4"/>
  <c r="J62" i="4"/>
  <c r="J63" i="4"/>
  <c r="J64" i="4"/>
  <c r="J65" i="4"/>
  <c r="J66" i="4"/>
  <c r="J67" i="4"/>
  <c r="J68" i="4"/>
  <c r="J69" i="4"/>
  <c r="J70" i="4"/>
  <c r="J71" i="4"/>
  <c r="J72" i="4"/>
  <c r="J73" i="4"/>
  <c r="J74" i="4"/>
  <c r="J75" i="4"/>
  <c r="J76" i="4"/>
  <c r="J77" i="4"/>
  <c r="J78" i="4"/>
  <c r="J79" i="4"/>
  <c r="J80" i="4"/>
  <c r="J81" i="4"/>
  <c r="J82" i="4"/>
  <c r="J83" i="4"/>
  <c r="J84" i="4"/>
  <c r="J85" i="4"/>
  <c r="J86" i="4"/>
  <c r="J87" i="4"/>
  <c r="J88" i="4"/>
  <c r="J89" i="4"/>
  <c r="J90" i="4"/>
  <c r="J91" i="4"/>
  <c r="J92" i="4"/>
  <c r="J93" i="4"/>
  <c r="J94" i="4"/>
  <c r="J95" i="4"/>
  <c r="J96" i="4"/>
  <c r="J97" i="4"/>
  <c r="J98" i="4"/>
  <c r="J99" i="4"/>
  <c r="J100" i="4"/>
  <c r="J101" i="4"/>
  <c r="J102" i="4"/>
  <c r="J103" i="4"/>
  <c r="J104" i="4"/>
  <c r="J105" i="4"/>
  <c r="J106" i="4"/>
  <c r="J107" i="4"/>
  <c r="J108" i="4"/>
  <c r="J109" i="4"/>
  <c r="J110" i="4"/>
  <c r="J111" i="4"/>
  <c r="J112" i="4"/>
  <c r="J113" i="4"/>
  <c r="J114" i="4"/>
  <c r="J115" i="4"/>
  <c r="J116" i="4"/>
  <c r="J117" i="4"/>
  <c r="J118" i="4"/>
  <c r="J119" i="4"/>
  <c r="J120" i="4"/>
  <c r="J121" i="4"/>
  <c r="J122" i="4"/>
  <c r="J123" i="4"/>
  <c r="J124" i="4"/>
  <c r="J125" i="4"/>
  <c r="J126" i="4"/>
  <c r="J127" i="4"/>
  <c r="J128" i="4"/>
  <c r="J129" i="4"/>
  <c r="J130" i="4"/>
  <c r="J131" i="4"/>
  <c r="J132" i="4"/>
  <c r="J133" i="4"/>
  <c r="J134" i="4"/>
  <c r="J135" i="4"/>
  <c r="J136" i="4"/>
  <c r="J137" i="4"/>
  <c r="J138" i="4"/>
  <c r="J139" i="4"/>
  <c r="J140" i="4"/>
  <c r="J141" i="4"/>
  <c r="J142" i="4"/>
  <c r="J143" i="4"/>
  <c r="J144" i="4"/>
  <c r="J145" i="4"/>
  <c r="J146" i="4"/>
  <c r="J147" i="4"/>
  <c r="J148" i="4"/>
  <c r="J149" i="4"/>
  <c r="J150" i="4"/>
  <c r="K4" i="4"/>
  <c r="Z4" i="4" s="1"/>
  <c r="AA4" i="4" s="1"/>
  <c r="K5" i="4"/>
  <c r="L5" i="4" s="1"/>
  <c r="K6" i="4"/>
  <c r="L6" i="4" s="1"/>
  <c r="K7" i="4"/>
  <c r="O7" i="4" s="1"/>
  <c r="K8" i="4"/>
  <c r="Z8" i="4" s="1"/>
  <c r="AA8" i="4" s="1"/>
  <c r="K9" i="4"/>
  <c r="L9" i="4" s="1"/>
  <c r="K10" i="4"/>
  <c r="L10" i="4" s="1"/>
  <c r="K11" i="4"/>
  <c r="L11" i="4" s="1"/>
  <c r="K12" i="4"/>
  <c r="K13" i="4"/>
  <c r="L13" i="4" s="1"/>
  <c r="K14" i="4"/>
  <c r="Z14" i="4" s="1"/>
  <c r="AA14" i="4" s="1"/>
  <c r="K15" i="4"/>
  <c r="Z15" i="4" s="1"/>
  <c r="AA15" i="4" s="1"/>
  <c r="K16" i="4"/>
  <c r="Z16" i="4" s="1"/>
  <c r="AA16" i="4" s="1"/>
  <c r="K17" i="4"/>
  <c r="L17" i="4" s="1"/>
  <c r="K18" i="4"/>
  <c r="L18" i="4" s="1"/>
  <c r="K19" i="4"/>
  <c r="K20" i="4"/>
  <c r="Z20" i="4" s="1"/>
  <c r="AA20" i="4" s="1"/>
  <c r="K21" i="4"/>
  <c r="L21" i="4" s="1"/>
  <c r="K22" i="4"/>
  <c r="L22" i="4" s="1"/>
  <c r="K23" i="4"/>
  <c r="O23" i="4" s="1"/>
  <c r="K24" i="4"/>
  <c r="Z24" i="4" s="1"/>
  <c r="AA24" i="4" s="1"/>
  <c r="K25" i="4"/>
  <c r="L25" i="4" s="1"/>
  <c r="K26" i="4"/>
  <c r="L26" i="4" s="1"/>
  <c r="K27" i="4"/>
  <c r="L27" i="4" s="1"/>
  <c r="K28" i="4"/>
  <c r="Z28" i="4" s="1"/>
  <c r="AA28" i="4" s="1"/>
  <c r="K29" i="4"/>
  <c r="L29" i="4" s="1"/>
  <c r="K30" i="4"/>
  <c r="O30" i="4" s="1"/>
  <c r="K31" i="4"/>
  <c r="K32" i="4"/>
  <c r="K33" i="4"/>
  <c r="L33" i="4" s="1"/>
  <c r="K34" i="4"/>
  <c r="L34" i="4" s="1"/>
  <c r="K35" i="4"/>
  <c r="K36" i="4"/>
  <c r="Z36" i="4" s="1"/>
  <c r="AA36" i="4" s="1"/>
  <c r="K37" i="4"/>
  <c r="L37" i="4" s="1"/>
  <c r="K38" i="4"/>
  <c r="L38" i="4" s="1"/>
  <c r="K39" i="4"/>
  <c r="O39" i="4" s="1"/>
  <c r="K40" i="4"/>
  <c r="K41" i="4"/>
  <c r="L41" i="4" s="1"/>
  <c r="K42" i="4"/>
  <c r="L42" i="4" s="1"/>
  <c r="K43" i="4"/>
  <c r="L43" i="4" s="1"/>
  <c r="K44" i="4"/>
  <c r="Z44" i="4" s="1"/>
  <c r="AA44" i="4" s="1"/>
  <c r="K45" i="4"/>
  <c r="L45" i="4" s="1"/>
  <c r="K46" i="4"/>
  <c r="Z46" i="4" s="1"/>
  <c r="AA46" i="4" s="1"/>
  <c r="K47" i="4"/>
  <c r="K48" i="4"/>
  <c r="Q48" i="4" s="1"/>
  <c r="K49" i="4"/>
  <c r="L49" i="4" s="1"/>
  <c r="K50" i="4"/>
  <c r="Z50" i="4" s="1"/>
  <c r="AA50" i="4" s="1"/>
  <c r="K51" i="4"/>
  <c r="Z51" i="4" s="1"/>
  <c r="AA51" i="4" s="1"/>
  <c r="K52" i="4"/>
  <c r="K53" i="4"/>
  <c r="L53" i="4" s="1"/>
  <c r="K54" i="4"/>
  <c r="L54" i="4" s="1"/>
  <c r="K55" i="4"/>
  <c r="O55" i="4" s="1"/>
  <c r="K56" i="4"/>
  <c r="K57" i="4"/>
  <c r="L57" i="4" s="1"/>
  <c r="K58" i="4"/>
  <c r="Z58" i="4" s="1"/>
  <c r="AA58" i="4" s="1"/>
  <c r="K59" i="4"/>
  <c r="L59" i="4" s="1"/>
  <c r="K60" i="4"/>
  <c r="K61" i="4"/>
  <c r="L61" i="4" s="1"/>
  <c r="K62" i="4"/>
  <c r="O62" i="4" s="1"/>
  <c r="K63" i="4"/>
  <c r="Z63" i="4" s="1"/>
  <c r="AA63" i="4" s="1"/>
  <c r="K64" i="4"/>
  <c r="L64" i="4" s="1"/>
  <c r="K65" i="4"/>
  <c r="L65" i="4" s="1"/>
  <c r="K66" i="4"/>
  <c r="Z66" i="4" s="1"/>
  <c r="AA66" i="4" s="1"/>
  <c r="K67" i="4"/>
  <c r="O67" i="4" s="1"/>
  <c r="K68" i="4"/>
  <c r="K69" i="4"/>
  <c r="L69" i="4" s="1"/>
  <c r="K70" i="4"/>
  <c r="L70" i="4" s="1"/>
  <c r="K71" i="4"/>
  <c r="K72" i="4"/>
  <c r="Z72" i="4" s="1"/>
  <c r="AA72" i="4" s="1"/>
  <c r="K73" i="4"/>
  <c r="L73" i="4" s="1"/>
  <c r="K74" i="4"/>
  <c r="P74" i="4" s="1"/>
  <c r="K75" i="4"/>
  <c r="L75" i="4" s="1"/>
  <c r="K76" i="4"/>
  <c r="K77" i="4"/>
  <c r="L77" i="4" s="1"/>
  <c r="K78" i="4"/>
  <c r="Z78" i="4" s="1"/>
  <c r="AA78" i="4" s="1"/>
  <c r="K79" i="4"/>
  <c r="K80" i="4"/>
  <c r="O80" i="4" s="1"/>
  <c r="K81" i="4"/>
  <c r="L81" i="4" s="1"/>
  <c r="K82" i="4"/>
  <c r="L82" i="4" s="1"/>
  <c r="K83" i="4"/>
  <c r="K84" i="4"/>
  <c r="Z84" i="4" s="1"/>
  <c r="AA84" i="4" s="1"/>
  <c r="K85" i="4"/>
  <c r="L85" i="4" s="1"/>
  <c r="K86" i="4"/>
  <c r="L86" i="4" s="1"/>
  <c r="K87" i="4"/>
  <c r="O87" i="4" s="1"/>
  <c r="K88" i="4"/>
  <c r="K89" i="4"/>
  <c r="L89" i="4" s="1"/>
  <c r="K90" i="4"/>
  <c r="P90" i="4" s="1"/>
  <c r="K91" i="4"/>
  <c r="L91" i="4" s="1"/>
  <c r="K92" i="4"/>
  <c r="Z92" i="4" s="1"/>
  <c r="AA92" i="4" s="1"/>
  <c r="K93" i="4"/>
  <c r="L93" i="4" s="1"/>
  <c r="K94" i="4"/>
  <c r="L94" i="4" s="1"/>
  <c r="K95" i="4"/>
  <c r="K96" i="4"/>
  <c r="O96" i="4" s="1"/>
  <c r="K97" i="4"/>
  <c r="L97" i="4" s="1"/>
  <c r="K98" i="4"/>
  <c r="Z98" i="4" s="1"/>
  <c r="AA98" i="4" s="1"/>
  <c r="K99" i="4"/>
  <c r="O99" i="4" s="1"/>
  <c r="K100" i="4"/>
  <c r="K101" i="4"/>
  <c r="L101" i="4" s="1"/>
  <c r="K102" i="4"/>
  <c r="L102" i="4" s="1"/>
  <c r="K103" i="4"/>
  <c r="K104" i="4"/>
  <c r="Z104" i="4" s="1"/>
  <c r="AA104" i="4" s="1"/>
  <c r="K105" i="4"/>
  <c r="L105" i="4" s="1"/>
  <c r="K106" i="4"/>
  <c r="P106" i="4" s="1"/>
  <c r="K107" i="4"/>
  <c r="L107" i="4" s="1"/>
  <c r="K108" i="4"/>
  <c r="K109" i="4"/>
  <c r="L109" i="4" s="1"/>
  <c r="K110" i="4"/>
  <c r="L110" i="4" s="1"/>
  <c r="K111" i="4"/>
  <c r="Z111" i="4" s="1"/>
  <c r="AA111" i="4" s="1"/>
  <c r="K112" i="4"/>
  <c r="K113" i="4"/>
  <c r="L113" i="4" s="1"/>
  <c r="K114" i="4"/>
  <c r="Z114" i="4" s="1"/>
  <c r="AA114" i="4" s="1"/>
  <c r="K115" i="4"/>
  <c r="O115" i="4" s="1"/>
  <c r="K116" i="4"/>
  <c r="Z116" i="4" s="1"/>
  <c r="AA116" i="4" s="1"/>
  <c r="K117" i="4"/>
  <c r="L117" i="4" s="1"/>
  <c r="K118" i="4"/>
  <c r="L118" i="4" s="1"/>
  <c r="K119" i="4"/>
  <c r="O119" i="4" s="1"/>
  <c r="K120" i="4"/>
  <c r="K121" i="4"/>
  <c r="L121" i="4" s="1"/>
  <c r="K122" i="4"/>
  <c r="L122" i="4" s="1"/>
  <c r="K123" i="4"/>
  <c r="L123" i="4" s="1"/>
  <c r="K124" i="4"/>
  <c r="K125" i="4"/>
  <c r="L125" i="4" s="1"/>
  <c r="K126" i="4"/>
  <c r="O126" i="4" s="1"/>
  <c r="K127" i="4"/>
  <c r="K128" i="4"/>
  <c r="P128" i="4" s="1"/>
  <c r="K129" i="4"/>
  <c r="L129" i="4" s="1"/>
  <c r="K130" i="4"/>
  <c r="L130" i="4" s="1"/>
  <c r="K131" i="4"/>
  <c r="O131" i="4" s="1"/>
  <c r="K132" i="4"/>
  <c r="K133" i="4"/>
  <c r="L133" i="4" s="1"/>
  <c r="K134" i="4"/>
  <c r="L134" i="4" s="1"/>
  <c r="K135" i="4"/>
  <c r="O135" i="4" s="1"/>
  <c r="K136" i="4"/>
  <c r="Z136" i="4" s="1"/>
  <c r="AA136" i="4" s="1"/>
  <c r="K137" i="4"/>
  <c r="L137" i="4" s="1"/>
  <c r="K138" i="4"/>
  <c r="P138" i="4" s="1"/>
  <c r="K139" i="4"/>
  <c r="L139" i="4" s="1"/>
  <c r="K140" i="4"/>
  <c r="Z140" i="4" s="1"/>
  <c r="AA140" i="4" s="1"/>
  <c r="K141" i="4"/>
  <c r="L141" i="4" s="1"/>
  <c r="K142" i="4"/>
  <c r="Z142" i="4" s="1"/>
  <c r="AA142" i="4" s="1"/>
  <c r="K143" i="4"/>
  <c r="P143" i="4" s="1"/>
  <c r="K144" i="4"/>
  <c r="O144" i="4" s="1"/>
  <c r="K145" i="4"/>
  <c r="L145" i="4" s="1"/>
  <c r="K146" i="4"/>
  <c r="Z146" i="4" s="1"/>
  <c r="AA146" i="4" s="1"/>
  <c r="K147" i="4"/>
  <c r="O147" i="4" s="1"/>
  <c r="K148" i="4"/>
  <c r="Z148" i="4" s="1"/>
  <c r="AA148" i="4" s="1"/>
  <c r="K149" i="4"/>
  <c r="L149" i="4" s="1"/>
  <c r="K150" i="4"/>
  <c r="L150" i="4" s="1"/>
  <c r="L7" i="4"/>
  <c r="L14" i="4"/>
  <c r="L15" i="4"/>
  <c r="L23" i="4"/>
  <c r="L24" i="4"/>
  <c r="L30" i="4"/>
  <c r="L36" i="4"/>
  <c r="L39" i="4"/>
  <c r="L46" i="4"/>
  <c r="L50" i="4"/>
  <c r="L58" i="4"/>
  <c r="L62" i="4"/>
  <c r="L66" i="4"/>
  <c r="L74" i="4"/>
  <c r="L76" i="4"/>
  <c r="L78" i="4"/>
  <c r="L90" i="4"/>
  <c r="L96" i="4"/>
  <c r="L98" i="4"/>
  <c r="L106" i="4"/>
  <c r="L108" i="4"/>
  <c r="L114" i="4"/>
  <c r="L126" i="4"/>
  <c r="L127" i="4"/>
  <c r="L135" i="4"/>
  <c r="L138" i="4"/>
  <c r="L142" i="4"/>
  <c r="L146" i="4"/>
  <c r="L147" i="4"/>
  <c r="O5" i="4"/>
  <c r="O6" i="4"/>
  <c r="O9" i="4"/>
  <c r="O10" i="4"/>
  <c r="O13" i="4"/>
  <c r="O14" i="4"/>
  <c r="O17" i="4"/>
  <c r="O18" i="4"/>
  <c r="O21" i="4"/>
  <c r="O22" i="4"/>
  <c r="O25" i="4"/>
  <c r="O26" i="4"/>
  <c r="O28" i="4"/>
  <c r="O29" i="4"/>
  <c r="O33" i="4"/>
  <c r="O34" i="4"/>
  <c r="O37" i="4"/>
  <c r="O38" i="4"/>
  <c r="O41" i="4"/>
  <c r="O42" i="4"/>
  <c r="O45" i="4"/>
  <c r="O46" i="4"/>
  <c r="O48" i="4"/>
  <c r="O49" i="4"/>
  <c r="O50" i="4"/>
  <c r="O53" i="4"/>
  <c r="O54" i="4"/>
  <c r="O57" i="4"/>
  <c r="O58" i="4"/>
  <c r="O61" i="4"/>
  <c r="O64" i="4"/>
  <c r="O65" i="4"/>
  <c r="O66" i="4"/>
  <c r="O69" i="4"/>
  <c r="O70" i="4"/>
  <c r="O73" i="4"/>
  <c r="O74" i="4"/>
  <c r="O77" i="4"/>
  <c r="O78" i="4"/>
  <c r="O81" i="4"/>
  <c r="O82" i="4"/>
  <c r="O85" i="4"/>
  <c r="O86" i="4"/>
  <c r="O89" i="4"/>
  <c r="O90" i="4"/>
  <c r="O92" i="4"/>
  <c r="O93" i="4"/>
  <c r="O97" i="4"/>
  <c r="O98" i="4"/>
  <c r="O101" i="4"/>
  <c r="O102" i="4"/>
  <c r="O105" i="4"/>
  <c r="O106" i="4"/>
  <c r="O109" i="4"/>
  <c r="O110" i="4"/>
  <c r="O112" i="4"/>
  <c r="O113" i="4"/>
  <c r="O114" i="4"/>
  <c r="O117" i="4"/>
  <c r="O118" i="4"/>
  <c r="O121" i="4"/>
  <c r="O122" i="4"/>
  <c r="O125" i="4"/>
  <c r="O128" i="4"/>
  <c r="O129" i="4"/>
  <c r="O130" i="4"/>
  <c r="O133" i="4"/>
  <c r="O134" i="4"/>
  <c r="O137" i="4"/>
  <c r="O138" i="4"/>
  <c r="O141" i="4"/>
  <c r="O142" i="4"/>
  <c r="O145" i="4"/>
  <c r="O146" i="4"/>
  <c r="O149" i="4"/>
  <c r="O150" i="4"/>
  <c r="P5" i="4"/>
  <c r="P6" i="4"/>
  <c r="P7" i="4"/>
  <c r="P9" i="4"/>
  <c r="P10" i="4"/>
  <c r="P11" i="4"/>
  <c r="P13" i="4"/>
  <c r="P14" i="4"/>
  <c r="P17" i="4"/>
  <c r="P18" i="4"/>
  <c r="P19" i="4"/>
  <c r="P21" i="4"/>
  <c r="P22" i="4"/>
  <c r="P23" i="4"/>
  <c r="P25" i="4"/>
  <c r="P26" i="4"/>
  <c r="P27" i="4"/>
  <c r="P29" i="4"/>
  <c r="P30" i="4"/>
  <c r="P33" i="4"/>
  <c r="P34" i="4"/>
  <c r="P35" i="4"/>
  <c r="P37" i="4"/>
  <c r="P38" i="4"/>
  <c r="P39" i="4"/>
  <c r="P41" i="4"/>
  <c r="P42" i="4"/>
  <c r="P43" i="4"/>
  <c r="P45" i="4"/>
  <c r="P46" i="4"/>
  <c r="P49" i="4"/>
  <c r="P50" i="4"/>
  <c r="P51" i="4"/>
  <c r="P53" i="4"/>
  <c r="P54" i="4"/>
  <c r="P55" i="4"/>
  <c r="P57" i="4"/>
  <c r="P58" i="4"/>
  <c r="P59" i="4"/>
  <c r="P61" i="4"/>
  <c r="P62" i="4"/>
  <c r="P65" i="4"/>
  <c r="P66" i="4"/>
  <c r="P67" i="4"/>
  <c r="P69" i="4"/>
  <c r="P70" i="4"/>
  <c r="P71" i="4"/>
  <c r="P73" i="4"/>
  <c r="P75" i="4"/>
  <c r="P77" i="4"/>
  <c r="P78" i="4"/>
  <c r="P81" i="4"/>
  <c r="P82" i="4"/>
  <c r="P83" i="4"/>
  <c r="P85" i="4"/>
  <c r="P86" i="4"/>
  <c r="P87" i="4"/>
  <c r="P89" i="4"/>
  <c r="P91" i="4"/>
  <c r="P93" i="4"/>
  <c r="P94" i="4"/>
  <c r="P97" i="4"/>
  <c r="P98" i="4"/>
  <c r="P99" i="4"/>
  <c r="P101" i="4"/>
  <c r="P102" i="4"/>
  <c r="P103" i="4"/>
  <c r="P105" i="4"/>
  <c r="P107" i="4"/>
  <c r="P109" i="4"/>
  <c r="P110" i="4"/>
  <c r="P113" i="4"/>
  <c r="P114" i="4"/>
  <c r="P115" i="4"/>
  <c r="P117" i="4"/>
  <c r="P118" i="4"/>
  <c r="P119" i="4"/>
  <c r="P121" i="4"/>
  <c r="P123" i="4"/>
  <c r="P125" i="4"/>
  <c r="P126" i="4"/>
  <c r="P129" i="4"/>
  <c r="P130" i="4"/>
  <c r="P131" i="4"/>
  <c r="P133" i="4"/>
  <c r="P134" i="4"/>
  <c r="P135" i="4"/>
  <c r="P137" i="4"/>
  <c r="P139" i="4"/>
  <c r="P141" i="4"/>
  <c r="P142" i="4"/>
  <c r="P145" i="4"/>
  <c r="P146" i="4"/>
  <c r="P147" i="4"/>
  <c r="P149" i="4"/>
  <c r="P150" i="4"/>
  <c r="Q4" i="4"/>
  <c r="Q5" i="4"/>
  <c r="Q6" i="4"/>
  <c r="Q7" i="4"/>
  <c r="Q8" i="4"/>
  <c r="Q9" i="4"/>
  <c r="Q10" i="4"/>
  <c r="Q11" i="4"/>
  <c r="Q12" i="4"/>
  <c r="Q13" i="4"/>
  <c r="Q14" i="4"/>
  <c r="Q15" i="4"/>
  <c r="Q16" i="4"/>
  <c r="Q17" i="4"/>
  <c r="Q18" i="4"/>
  <c r="Q19" i="4"/>
  <c r="Q20" i="4"/>
  <c r="Q21" i="4"/>
  <c r="Q22" i="4"/>
  <c r="Q23" i="4"/>
  <c r="Q24" i="4"/>
  <c r="Q25" i="4"/>
  <c r="Q26" i="4"/>
  <c r="Q27" i="4"/>
  <c r="Q28" i="4"/>
  <c r="Q29" i="4"/>
  <c r="Q41" i="4"/>
  <c r="Q42" i="4"/>
  <c r="Q43" i="4"/>
  <c r="Q45" i="4"/>
  <c r="Q46" i="4"/>
  <c r="Q47" i="4"/>
  <c r="Q49" i="4"/>
  <c r="Q50" i="4"/>
  <c r="Q51" i="4"/>
  <c r="Q53" i="4"/>
  <c r="Q54" i="4"/>
  <c r="Q57" i="4"/>
  <c r="Q58" i="4"/>
  <c r="Q59" i="4"/>
  <c r="Q61" i="4"/>
  <c r="Q62" i="4"/>
  <c r="Q65" i="4"/>
  <c r="Q66" i="4"/>
  <c r="Q67" i="4"/>
  <c r="Q69" i="4"/>
  <c r="Q70" i="4"/>
  <c r="Q71" i="4"/>
  <c r="Q73" i="4"/>
  <c r="Q74" i="4"/>
  <c r="Q75" i="4"/>
  <c r="Q77" i="4"/>
  <c r="Q78" i="4"/>
  <c r="Q81" i="4"/>
  <c r="Q82" i="4"/>
  <c r="Q83" i="4"/>
  <c r="Q85" i="4"/>
  <c r="Q86" i="4"/>
  <c r="Q87" i="4"/>
  <c r="Q89" i="4"/>
  <c r="Q90" i="4"/>
  <c r="Q91" i="4"/>
  <c r="Q93" i="4"/>
  <c r="Q94" i="4"/>
  <c r="Q97" i="4"/>
  <c r="Q98" i="4"/>
  <c r="Q99" i="4"/>
  <c r="Q101" i="4"/>
  <c r="Q102" i="4"/>
  <c r="Q103" i="4"/>
  <c r="Q105" i="4"/>
  <c r="Q106" i="4"/>
  <c r="Q107" i="4"/>
  <c r="Q109" i="4"/>
  <c r="Q110" i="4"/>
  <c r="Q113" i="4"/>
  <c r="Q114" i="4"/>
  <c r="Q115" i="4"/>
  <c r="Q117" i="4"/>
  <c r="Q118" i="4"/>
  <c r="Q119" i="4"/>
  <c r="Q120" i="4"/>
  <c r="Q121" i="4"/>
  <c r="Q122" i="4"/>
  <c r="Q123" i="4"/>
  <c r="Q124" i="4"/>
  <c r="Q125" i="4"/>
  <c r="Q126" i="4"/>
  <c r="Q127" i="4"/>
  <c r="Q128" i="4"/>
  <c r="Q129" i="4"/>
  <c r="Q130" i="4"/>
  <c r="Q131" i="4"/>
  <c r="Q132" i="4"/>
  <c r="Q133" i="4"/>
  <c r="Q134" i="4"/>
  <c r="Q135" i="4"/>
  <c r="Q136" i="4"/>
  <c r="Q137" i="4"/>
  <c r="Q138" i="4"/>
  <c r="Q139" i="4"/>
  <c r="Q140" i="4"/>
  <c r="Q141" i="4"/>
  <c r="Q142" i="4"/>
  <c r="Q143" i="4"/>
  <c r="Q144" i="4"/>
  <c r="Q145" i="4"/>
  <c r="Q146" i="4"/>
  <c r="Q147" i="4"/>
  <c r="Q148" i="4"/>
  <c r="Q149" i="4"/>
  <c r="Q150" i="4"/>
  <c r="X4" i="4"/>
  <c r="X5" i="4"/>
  <c r="X6" i="4"/>
  <c r="X7" i="4"/>
  <c r="X8" i="4"/>
  <c r="X9" i="4"/>
  <c r="X10" i="4"/>
  <c r="X11" i="4"/>
  <c r="X12" i="4"/>
  <c r="X13" i="4"/>
  <c r="X14" i="4"/>
  <c r="X15" i="4"/>
  <c r="X16" i="4"/>
  <c r="X17" i="4"/>
  <c r="X18" i="4"/>
  <c r="X19" i="4"/>
  <c r="X20" i="4"/>
  <c r="X21" i="4"/>
  <c r="X22" i="4"/>
  <c r="X23" i="4"/>
  <c r="X24" i="4"/>
  <c r="X25" i="4"/>
  <c r="X26" i="4"/>
  <c r="X27" i="4"/>
  <c r="X28" i="4"/>
  <c r="X29" i="4"/>
  <c r="X30" i="4"/>
  <c r="X31" i="4"/>
  <c r="X32" i="4"/>
  <c r="X33" i="4"/>
  <c r="X34" i="4"/>
  <c r="X35" i="4"/>
  <c r="X36" i="4"/>
  <c r="X37" i="4"/>
  <c r="X38" i="4"/>
  <c r="X39" i="4"/>
  <c r="X40" i="4"/>
  <c r="X41" i="4"/>
  <c r="X42" i="4"/>
  <c r="X43" i="4"/>
  <c r="X44" i="4"/>
  <c r="X45" i="4"/>
  <c r="X46" i="4"/>
  <c r="X47" i="4"/>
  <c r="X48" i="4"/>
  <c r="X49" i="4"/>
  <c r="X50" i="4"/>
  <c r="X51" i="4"/>
  <c r="X52" i="4"/>
  <c r="X53" i="4"/>
  <c r="X54" i="4"/>
  <c r="X55" i="4"/>
  <c r="X56" i="4"/>
  <c r="X57" i="4"/>
  <c r="X58" i="4"/>
  <c r="X59" i="4"/>
  <c r="X60" i="4"/>
  <c r="X61" i="4"/>
  <c r="X62" i="4"/>
  <c r="X63" i="4"/>
  <c r="X64" i="4"/>
  <c r="X65" i="4"/>
  <c r="X66" i="4"/>
  <c r="X67" i="4"/>
  <c r="X68" i="4"/>
  <c r="X69" i="4"/>
  <c r="X70" i="4"/>
  <c r="X71" i="4"/>
  <c r="X72" i="4"/>
  <c r="X73" i="4"/>
  <c r="X74" i="4"/>
  <c r="X75" i="4"/>
  <c r="X76" i="4"/>
  <c r="X77" i="4"/>
  <c r="X78" i="4"/>
  <c r="X79" i="4"/>
  <c r="X80" i="4"/>
  <c r="X81" i="4"/>
  <c r="X82" i="4"/>
  <c r="X83" i="4"/>
  <c r="X84" i="4"/>
  <c r="X85" i="4"/>
  <c r="X86" i="4"/>
  <c r="X87" i="4"/>
  <c r="X88" i="4"/>
  <c r="X89" i="4"/>
  <c r="X90" i="4"/>
  <c r="X91" i="4"/>
  <c r="X92" i="4"/>
  <c r="X93" i="4"/>
  <c r="X94" i="4"/>
  <c r="X95" i="4"/>
  <c r="X96" i="4"/>
  <c r="X97" i="4"/>
  <c r="X98" i="4"/>
  <c r="X99" i="4"/>
  <c r="X100" i="4"/>
  <c r="X101" i="4"/>
  <c r="X102" i="4"/>
  <c r="X103" i="4"/>
  <c r="X104" i="4"/>
  <c r="X105" i="4"/>
  <c r="X106" i="4"/>
  <c r="X107" i="4"/>
  <c r="X108" i="4"/>
  <c r="X109" i="4"/>
  <c r="X110" i="4"/>
  <c r="X111" i="4"/>
  <c r="X112" i="4"/>
  <c r="X113" i="4"/>
  <c r="X114" i="4"/>
  <c r="X115" i="4"/>
  <c r="X116" i="4"/>
  <c r="X117" i="4"/>
  <c r="X118" i="4"/>
  <c r="X119" i="4"/>
  <c r="X120" i="4"/>
  <c r="X121" i="4"/>
  <c r="X122" i="4"/>
  <c r="X123" i="4"/>
  <c r="X124" i="4"/>
  <c r="X125" i="4"/>
  <c r="X126" i="4"/>
  <c r="X127" i="4"/>
  <c r="X128" i="4"/>
  <c r="X129" i="4"/>
  <c r="X130" i="4"/>
  <c r="X131" i="4"/>
  <c r="X132" i="4"/>
  <c r="X133" i="4"/>
  <c r="X134" i="4"/>
  <c r="X135" i="4"/>
  <c r="X136" i="4"/>
  <c r="X137" i="4"/>
  <c r="X138" i="4"/>
  <c r="X139" i="4"/>
  <c r="X140" i="4"/>
  <c r="X141" i="4"/>
  <c r="X142" i="4"/>
  <c r="X143" i="4"/>
  <c r="X144" i="4"/>
  <c r="X145" i="4"/>
  <c r="X146" i="4"/>
  <c r="X147" i="4"/>
  <c r="X148" i="4"/>
  <c r="X149" i="4"/>
  <c r="X150" i="4"/>
  <c r="Z5" i="4"/>
  <c r="AA5" i="4" s="1"/>
  <c r="Z7" i="4"/>
  <c r="AA7" i="4" s="1"/>
  <c r="Z9" i="4"/>
  <c r="AA9" i="4" s="1"/>
  <c r="Z10" i="4"/>
  <c r="AA10" i="4" s="1"/>
  <c r="Z11" i="4"/>
  <c r="AA11" i="4" s="1"/>
  <c r="Z17" i="4"/>
  <c r="AA17" i="4" s="1"/>
  <c r="Z19" i="4"/>
  <c r="AA19" i="4" s="1"/>
  <c r="Z23" i="4"/>
  <c r="AA23" i="4" s="1"/>
  <c r="Z29" i="4"/>
  <c r="AA29" i="4" s="1"/>
  <c r="Z31" i="4"/>
  <c r="AA31" i="4" s="1"/>
  <c r="Z33" i="4"/>
  <c r="AA33" i="4" s="1"/>
  <c r="Z35" i="4"/>
  <c r="AA35" i="4" s="1"/>
  <c r="Z41" i="4"/>
  <c r="AA41" i="4" s="1"/>
  <c r="Z43" i="4"/>
  <c r="AA43" i="4" s="1"/>
  <c r="Z45" i="4"/>
  <c r="AA45" i="4" s="1"/>
  <c r="Z47" i="4"/>
  <c r="AA47" i="4" s="1"/>
  <c r="Z53" i="4"/>
  <c r="AA53" i="4" s="1"/>
  <c r="Z55" i="4"/>
  <c r="AA55" i="4" s="1"/>
  <c r="Z59" i="4"/>
  <c r="AA59" i="4" s="1"/>
  <c r="Z65" i="4"/>
  <c r="AA65" i="4" s="1"/>
  <c r="Z67" i="4"/>
  <c r="AA67" i="4" s="1"/>
  <c r="Z69" i="4"/>
  <c r="AA69" i="4" s="1"/>
  <c r="Z71" i="4"/>
  <c r="AA71" i="4" s="1"/>
  <c r="Z77" i="4"/>
  <c r="AA77" i="4" s="1"/>
  <c r="Z79" i="4"/>
  <c r="AA79" i="4" s="1"/>
  <c r="Z83" i="4"/>
  <c r="AA83" i="4" s="1"/>
  <c r="Z89" i="4"/>
  <c r="AA89" i="4" s="1"/>
  <c r="Z91" i="4"/>
  <c r="AA91" i="4" s="1"/>
  <c r="Z93" i="4"/>
  <c r="AA93" i="4" s="1"/>
  <c r="Z95" i="4"/>
  <c r="AA95" i="4" s="1"/>
  <c r="Z101" i="4"/>
  <c r="AA101" i="4" s="1"/>
  <c r="Z103" i="4"/>
  <c r="AA103" i="4" s="1"/>
  <c r="Z107" i="4"/>
  <c r="AA107" i="4" s="1"/>
  <c r="Z112" i="4"/>
  <c r="AA112" i="4" s="1"/>
  <c r="Z113" i="4"/>
  <c r="AA113" i="4" s="1"/>
  <c r="Z115" i="4"/>
  <c r="AA115" i="4" s="1"/>
  <c r="Z119" i="4"/>
  <c r="AA119" i="4" s="1"/>
  <c r="Z121" i="4"/>
  <c r="AA121" i="4" s="1"/>
  <c r="Z125" i="4"/>
  <c r="AA125" i="4" s="1"/>
  <c r="Z127" i="4"/>
  <c r="AA127" i="4" s="1"/>
  <c r="Z131" i="4"/>
  <c r="AA131" i="4" s="1"/>
  <c r="Z137" i="4"/>
  <c r="AA137" i="4" s="1"/>
  <c r="Z139" i="4"/>
  <c r="AA139" i="4" s="1"/>
  <c r="Z143" i="4"/>
  <c r="AA143" i="4" s="1"/>
  <c r="Z145" i="4"/>
  <c r="AA145" i="4" s="1"/>
  <c r="Z149" i="4"/>
  <c r="AA149" i="4" s="1"/>
  <c r="Z99" i="4" l="1"/>
  <c r="AA99" i="4" s="1"/>
  <c r="Z73" i="4"/>
  <c r="AA73" i="4" s="1"/>
  <c r="Z141" i="4"/>
  <c r="AA141" i="4" s="1"/>
  <c r="Z117" i="4"/>
  <c r="AA117" i="4" s="1"/>
  <c r="Z48" i="4"/>
  <c r="AA48" i="4" s="1"/>
  <c r="Z26" i="4"/>
  <c r="AA26" i="4" s="1"/>
  <c r="Z123" i="4"/>
  <c r="AA123" i="4" s="1"/>
  <c r="Z75" i="4"/>
  <c r="AA75" i="4" s="1"/>
  <c r="Z27" i="4"/>
  <c r="AA27" i="4" s="1"/>
  <c r="Z135" i="4"/>
  <c r="AA135" i="4" s="1"/>
  <c r="Z21" i="4"/>
  <c r="AA21" i="4" s="1"/>
  <c r="Z133" i="4"/>
  <c r="AA133" i="4" s="1"/>
  <c r="Z87" i="4"/>
  <c r="AA87" i="4" s="1"/>
  <c r="Z49" i="4"/>
  <c r="AA49" i="4" s="1"/>
  <c r="Z25" i="4"/>
  <c r="AA25" i="4" s="1"/>
  <c r="Z109" i="4"/>
  <c r="AA109" i="4" s="1"/>
  <c r="Z85" i="4"/>
  <c r="AA85" i="4" s="1"/>
  <c r="Z61" i="4"/>
  <c r="AA61" i="4" s="1"/>
  <c r="Z39" i="4"/>
  <c r="AA39" i="4" s="1"/>
  <c r="Z129" i="4"/>
  <c r="AA129" i="4" s="1"/>
  <c r="Z37" i="4"/>
  <c r="AA37" i="4" s="1"/>
  <c r="Z147" i="4"/>
  <c r="AA147" i="4" s="1"/>
  <c r="Z97" i="4"/>
  <c r="AA97" i="4" s="1"/>
  <c r="Z105" i="4"/>
  <c r="AA105" i="4" s="1"/>
  <c r="Z81" i="4"/>
  <c r="AA81" i="4" s="1"/>
  <c r="Z57" i="4"/>
  <c r="AA57" i="4" s="1"/>
  <c r="Z13" i="4"/>
  <c r="AA13" i="4" s="1"/>
  <c r="L88" i="4"/>
  <c r="Z88" i="4"/>
  <c r="AA88" i="4" s="1"/>
  <c r="O76" i="4"/>
  <c r="Z76" i="4"/>
  <c r="AA76" i="4" s="1"/>
  <c r="L68" i="4"/>
  <c r="Z68" i="4"/>
  <c r="AA68" i="4" s="1"/>
  <c r="O60" i="4"/>
  <c r="Z60" i="4"/>
  <c r="AA60" i="4" s="1"/>
  <c r="L56" i="4"/>
  <c r="Z56" i="4"/>
  <c r="AA56" i="4" s="1"/>
  <c r="Q52" i="4"/>
  <c r="Z52" i="4"/>
  <c r="AA52" i="4" s="1"/>
  <c r="Q40" i="4"/>
  <c r="Z40" i="4"/>
  <c r="AA40" i="4" s="1"/>
  <c r="Z96" i="4"/>
  <c r="AA96" i="4" s="1"/>
  <c r="Z80" i="4"/>
  <c r="AA80" i="4" s="1"/>
  <c r="L132" i="4"/>
  <c r="Z132" i="4"/>
  <c r="AA132" i="4" s="1"/>
  <c r="O124" i="4"/>
  <c r="Z124" i="4"/>
  <c r="AA124" i="4" s="1"/>
  <c r="L120" i="4"/>
  <c r="Z120" i="4"/>
  <c r="AA120" i="4" s="1"/>
  <c r="O108" i="4"/>
  <c r="Z108" i="4"/>
  <c r="AA108" i="4" s="1"/>
  <c r="L100" i="4"/>
  <c r="Z100" i="4"/>
  <c r="AA100" i="4" s="1"/>
  <c r="Z144" i="4"/>
  <c r="AA144" i="4" s="1"/>
  <c r="Z128" i="4"/>
  <c r="AA128" i="4" s="1"/>
  <c r="Z64" i="4"/>
  <c r="AA64" i="4" s="1"/>
  <c r="S197" i="4"/>
  <c r="M197" i="4" s="1"/>
  <c r="S200" i="4"/>
  <c r="T200" i="4" s="1"/>
  <c r="S196" i="4"/>
  <c r="M196" i="4" s="1"/>
  <c r="S179" i="4"/>
  <c r="M179" i="4" s="1"/>
  <c r="N179" i="4" s="1"/>
  <c r="Z30" i="4"/>
  <c r="AA30" i="4" s="1"/>
  <c r="Z34" i="4"/>
  <c r="AA34" i="4" s="1"/>
  <c r="Z18" i="4"/>
  <c r="AA18" i="4" s="1"/>
  <c r="Z150" i="4"/>
  <c r="AA150" i="4" s="1"/>
  <c r="Z138" i="4"/>
  <c r="AA138" i="4" s="1"/>
  <c r="Z134" i="4"/>
  <c r="AA134" i="4" s="1"/>
  <c r="Z130" i="4"/>
  <c r="AA130" i="4" s="1"/>
  <c r="Z126" i="4"/>
  <c r="AA126" i="4" s="1"/>
  <c r="Z122" i="4"/>
  <c r="AA122" i="4" s="1"/>
  <c r="Z118" i="4"/>
  <c r="AA118" i="4" s="1"/>
  <c r="Z110" i="4"/>
  <c r="AA110" i="4" s="1"/>
  <c r="Z106" i="4"/>
  <c r="AA106" i="4" s="1"/>
  <c r="Z102" i="4"/>
  <c r="AA102" i="4" s="1"/>
  <c r="Z94" i="4"/>
  <c r="AA94" i="4" s="1"/>
  <c r="Z90" i="4"/>
  <c r="AA90" i="4" s="1"/>
  <c r="Z86" i="4"/>
  <c r="AA86" i="4" s="1"/>
  <c r="Z82" i="4"/>
  <c r="AA82" i="4" s="1"/>
  <c r="Z74" i="4"/>
  <c r="AA74" i="4" s="1"/>
  <c r="Z70" i="4"/>
  <c r="AA70" i="4" s="1"/>
  <c r="Z62" i="4"/>
  <c r="AA62" i="4" s="1"/>
  <c r="Z54" i="4"/>
  <c r="AA54" i="4" s="1"/>
  <c r="Z42" i="4"/>
  <c r="AA42" i="4" s="1"/>
  <c r="Z38" i="4"/>
  <c r="AA38" i="4" s="1"/>
  <c r="Z22" i="4"/>
  <c r="AA22" i="4" s="1"/>
  <c r="Z6" i="4"/>
  <c r="AA6" i="4" s="1"/>
  <c r="L194" i="4"/>
  <c r="O194" i="4"/>
  <c r="P194" i="4"/>
  <c r="Q194" i="4"/>
  <c r="Z194" i="4"/>
  <c r="AA194" i="4" s="1"/>
  <c r="X194" i="4"/>
  <c r="L182" i="4"/>
  <c r="X182" i="4"/>
  <c r="L174" i="4"/>
  <c r="O174" i="4"/>
  <c r="P174" i="4"/>
  <c r="Q174" i="4"/>
  <c r="Z174" i="4"/>
  <c r="AA174" i="4" s="1"/>
  <c r="P140" i="4"/>
  <c r="L140" i="4"/>
  <c r="O140" i="4"/>
  <c r="P44" i="4"/>
  <c r="O44" i="4"/>
  <c r="Q44" i="4"/>
  <c r="L44" i="4"/>
  <c r="P32" i="4"/>
  <c r="Z32" i="4"/>
  <c r="AA32" i="4" s="1"/>
  <c r="P12" i="4"/>
  <c r="O12" i="4"/>
  <c r="Z12" i="4"/>
  <c r="AA12" i="4" s="1"/>
  <c r="L12" i="4"/>
  <c r="Z182" i="4"/>
  <c r="AA182" i="4" s="1"/>
  <c r="O189" i="4"/>
  <c r="P189" i="4"/>
  <c r="Q189" i="4"/>
  <c r="Z189" i="4"/>
  <c r="AA189" i="4" s="1"/>
  <c r="L189" i="4"/>
  <c r="X189" i="4"/>
  <c r="O185" i="4"/>
  <c r="P185" i="4"/>
  <c r="Q185" i="4"/>
  <c r="Z185" i="4"/>
  <c r="AA185" i="4" s="1"/>
  <c r="X177" i="4"/>
  <c r="L177" i="4"/>
  <c r="O173" i="4"/>
  <c r="P173" i="4"/>
  <c r="Q173" i="4"/>
  <c r="Z173" i="4"/>
  <c r="AA173" i="4" s="1"/>
  <c r="X173" i="4"/>
  <c r="L169" i="4"/>
  <c r="O169" i="4"/>
  <c r="P169" i="4"/>
  <c r="Q169" i="4"/>
  <c r="Z169" i="4"/>
  <c r="AA169" i="4" s="1"/>
  <c r="L190" i="4"/>
  <c r="O190" i="4"/>
  <c r="P190" i="4"/>
  <c r="Q190" i="4"/>
  <c r="Z190" i="4"/>
  <c r="AA190" i="4" s="1"/>
  <c r="O32" i="4"/>
  <c r="L32" i="4"/>
  <c r="L4" i="4"/>
  <c r="O127" i="4"/>
  <c r="P127" i="4"/>
  <c r="O111" i="4"/>
  <c r="P111" i="4"/>
  <c r="Q111" i="4"/>
  <c r="O103" i="4"/>
  <c r="S103" i="4" s="1"/>
  <c r="M103" i="4" s="1"/>
  <c r="L103" i="4"/>
  <c r="O95" i="4"/>
  <c r="P95" i="4"/>
  <c r="Q95" i="4"/>
  <c r="L95" i="4"/>
  <c r="O83" i="4"/>
  <c r="S83" i="4" s="1"/>
  <c r="M83" i="4" s="1"/>
  <c r="L83" i="4"/>
  <c r="O79" i="4"/>
  <c r="P79" i="4"/>
  <c r="Q79" i="4"/>
  <c r="O71" i="4"/>
  <c r="S71" i="4" s="1"/>
  <c r="M71" i="4" s="1"/>
  <c r="L71" i="4"/>
  <c r="O63" i="4"/>
  <c r="L63" i="4"/>
  <c r="P63" i="4"/>
  <c r="Q63" i="4"/>
  <c r="O51" i="4"/>
  <c r="S51" i="4" s="1"/>
  <c r="M51" i="4" s="1"/>
  <c r="L51" i="4"/>
  <c r="O47" i="4"/>
  <c r="P47" i="4"/>
  <c r="O35" i="4"/>
  <c r="L35" i="4"/>
  <c r="O31" i="4"/>
  <c r="P31" i="4"/>
  <c r="O19" i="4"/>
  <c r="S19" i="4" s="1"/>
  <c r="M19" i="4" s="1"/>
  <c r="L19" i="4"/>
  <c r="O15" i="4"/>
  <c r="P15" i="4"/>
  <c r="X167" i="4"/>
  <c r="L167" i="4"/>
  <c r="O167" i="4"/>
  <c r="S167" i="4" s="1"/>
  <c r="M167" i="4" s="1"/>
  <c r="Q163" i="4"/>
  <c r="S163" i="4" s="1"/>
  <c r="M163" i="4" s="1"/>
  <c r="X163" i="4"/>
  <c r="P159" i="4"/>
  <c r="Z159" i="4"/>
  <c r="AA159" i="4" s="1"/>
  <c r="L159" i="4"/>
  <c r="Q159" i="4"/>
  <c r="O155" i="4"/>
  <c r="P155" i="4"/>
  <c r="L151" i="4"/>
  <c r="X151" i="4"/>
  <c r="Z181" i="4"/>
  <c r="AA181" i="4" s="1"/>
  <c r="X186" i="4"/>
  <c r="X170" i="4"/>
  <c r="Q182" i="4"/>
  <c r="P182" i="4"/>
  <c r="O182" i="4"/>
  <c r="L173" i="4"/>
  <c r="O178" i="4"/>
  <c r="P178" i="4"/>
  <c r="Q178" i="4"/>
  <c r="Z178" i="4"/>
  <c r="AA178" i="4" s="1"/>
  <c r="X178" i="4"/>
  <c r="O16" i="4"/>
  <c r="L128" i="4"/>
  <c r="L115" i="4"/>
  <c r="L31" i="4"/>
  <c r="O159" i="4"/>
  <c r="O151" i="4"/>
  <c r="S151" i="4" s="1"/>
  <c r="M151" i="4" s="1"/>
  <c r="Z170" i="4"/>
  <c r="AA170" i="4" s="1"/>
  <c r="X185" i="4"/>
  <c r="X169" i="4"/>
  <c r="Q181" i="4"/>
  <c r="P181" i="4"/>
  <c r="O181" i="4"/>
  <c r="P122" i="4"/>
  <c r="S122" i="4" s="1"/>
  <c r="O94" i="4"/>
  <c r="S94" i="4" s="1"/>
  <c r="L165" i="4"/>
  <c r="S198" i="4"/>
  <c r="M198" i="4" s="1"/>
  <c r="S199" i="4"/>
  <c r="T199" i="4" s="1"/>
  <c r="S195" i="4"/>
  <c r="M195" i="4" s="1"/>
  <c r="S191" i="4"/>
  <c r="M191" i="4" s="1"/>
  <c r="N191" i="4" s="1"/>
  <c r="S175" i="4"/>
  <c r="M175" i="4" s="1"/>
  <c r="N175" i="4" s="1"/>
  <c r="P166" i="4"/>
  <c r="Z166" i="4"/>
  <c r="AA166" i="4" s="1"/>
  <c r="Q166" i="4"/>
  <c r="P158" i="4"/>
  <c r="Z158" i="4"/>
  <c r="AA158" i="4" s="1"/>
  <c r="Q158" i="4"/>
  <c r="Z188" i="4"/>
  <c r="AA188" i="4" s="1"/>
  <c r="P188" i="4"/>
  <c r="Z180" i="4"/>
  <c r="AA180" i="4" s="1"/>
  <c r="P180" i="4"/>
  <c r="Z168" i="4"/>
  <c r="AA168" i="4" s="1"/>
  <c r="P168" i="4"/>
  <c r="L148" i="4"/>
  <c r="P148" i="4"/>
  <c r="O148" i="4"/>
  <c r="P144" i="4"/>
  <c r="S144" i="4" s="1"/>
  <c r="M144" i="4" s="1"/>
  <c r="L144" i="4"/>
  <c r="L136" i="4"/>
  <c r="O136" i="4"/>
  <c r="P136" i="4"/>
  <c r="P132" i="4"/>
  <c r="O132" i="4"/>
  <c r="L124" i="4"/>
  <c r="P124" i="4"/>
  <c r="O120" i="4"/>
  <c r="P120" i="4"/>
  <c r="L116" i="4"/>
  <c r="P116" i="4"/>
  <c r="Q116" i="4"/>
  <c r="O116" i="4"/>
  <c r="P112" i="4"/>
  <c r="Q112" i="4"/>
  <c r="L112" i="4"/>
  <c r="P108" i="4"/>
  <c r="Q108" i="4"/>
  <c r="L104" i="4"/>
  <c r="O104" i="4"/>
  <c r="P104" i="4"/>
  <c r="Q104" i="4"/>
  <c r="P100" i="4"/>
  <c r="Q100" i="4"/>
  <c r="O100" i="4"/>
  <c r="P96" i="4"/>
  <c r="Q96" i="4"/>
  <c r="L92" i="4"/>
  <c r="P92" i="4"/>
  <c r="Q92" i="4"/>
  <c r="O88" i="4"/>
  <c r="P88" i="4"/>
  <c r="Q88" i="4"/>
  <c r="L84" i="4"/>
  <c r="P84" i="4"/>
  <c r="Q84" i="4"/>
  <c r="O84" i="4"/>
  <c r="P80" i="4"/>
  <c r="Q80" i="4"/>
  <c r="L80" i="4"/>
  <c r="P76" i="4"/>
  <c r="Q76" i="4"/>
  <c r="L72" i="4"/>
  <c r="O72" i="4"/>
  <c r="P72" i="4"/>
  <c r="Q72" i="4"/>
  <c r="P68" i="4"/>
  <c r="Q68" i="4"/>
  <c r="O68" i="4"/>
  <c r="P64" i="4"/>
  <c r="Q64" i="4"/>
  <c r="L60" i="4"/>
  <c r="P60" i="4"/>
  <c r="Q60" i="4"/>
  <c r="O56" i="4"/>
  <c r="P56" i="4"/>
  <c r="Q56" i="4"/>
  <c r="L52" i="4"/>
  <c r="P52" i="4"/>
  <c r="O52" i="4"/>
  <c r="P48" i="4"/>
  <c r="S48" i="4" s="1"/>
  <c r="M48" i="4" s="1"/>
  <c r="L48" i="4"/>
  <c r="L40" i="4"/>
  <c r="O40" i="4"/>
  <c r="P40" i="4"/>
  <c r="P36" i="4"/>
  <c r="O36" i="4"/>
  <c r="L28" i="4"/>
  <c r="P28" i="4"/>
  <c r="S28" i="4" s="1"/>
  <c r="M28" i="4" s="1"/>
  <c r="O24" i="4"/>
  <c r="P24" i="4"/>
  <c r="L20" i="4"/>
  <c r="P20" i="4"/>
  <c r="O20" i="4"/>
  <c r="P16" i="4"/>
  <c r="L16" i="4"/>
  <c r="L8" i="4"/>
  <c r="O8" i="4"/>
  <c r="P8" i="4"/>
  <c r="P4" i="4"/>
  <c r="O4" i="4"/>
  <c r="P162" i="4"/>
  <c r="Q162" i="4"/>
  <c r="P154" i="4"/>
  <c r="Q154" i="4"/>
  <c r="Z192" i="4"/>
  <c r="AA192" i="4" s="1"/>
  <c r="P192" i="4"/>
  <c r="Z184" i="4"/>
  <c r="AA184" i="4" s="1"/>
  <c r="P184" i="4"/>
  <c r="Z176" i="4"/>
  <c r="AA176" i="4" s="1"/>
  <c r="P176" i="4"/>
  <c r="Z172" i="4"/>
  <c r="AA172" i="4" s="1"/>
  <c r="P172" i="4"/>
  <c r="S149" i="4"/>
  <c r="M149" i="4" s="1"/>
  <c r="U149" i="4" s="1"/>
  <c r="S117" i="4"/>
  <c r="M117" i="4" s="1"/>
  <c r="V117" i="4" s="1"/>
  <c r="O143" i="4"/>
  <c r="S143" i="4" s="1"/>
  <c r="M143" i="4" s="1"/>
  <c r="L143" i="4"/>
  <c r="Z154" i="4"/>
  <c r="AA154" i="4" s="1"/>
  <c r="X166" i="4"/>
  <c r="X162" i="4"/>
  <c r="X158" i="4"/>
  <c r="X154" i="4"/>
  <c r="O152" i="4"/>
  <c r="S152" i="4" s="1"/>
  <c r="M152" i="4" s="1"/>
  <c r="T152" i="4" s="1"/>
  <c r="L152" i="4"/>
  <c r="L131" i="4"/>
  <c r="L119" i="4"/>
  <c r="L99" i="4"/>
  <c r="L87" i="4"/>
  <c r="L67" i="4"/>
  <c r="L55" i="4"/>
  <c r="S183" i="4"/>
  <c r="M183" i="4" s="1"/>
  <c r="U183" i="4" s="1"/>
  <c r="L111" i="4"/>
  <c r="L79" i="4"/>
  <c r="L47" i="4"/>
  <c r="L160" i="4"/>
  <c r="S187" i="4"/>
  <c r="M187" i="4" s="1"/>
  <c r="S171" i="4"/>
  <c r="M171" i="4" s="1"/>
  <c r="U171" i="4" s="1"/>
  <c r="S164" i="4"/>
  <c r="M164" i="4" s="1"/>
  <c r="S160" i="4"/>
  <c r="M160" i="4" s="1"/>
  <c r="T160" i="4" s="1"/>
  <c r="S156" i="4"/>
  <c r="M156" i="4" s="1"/>
  <c r="T156" i="4" s="1"/>
  <c r="X192" i="4"/>
  <c r="X188" i="4"/>
  <c r="X184" i="4"/>
  <c r="X180" i="4"/>
  <c r="X176" i="4"/>
  <c r="X172" i="4"/>
  <c r="X168" i="4"/>
  <c r="W179" i="4"/>
  <c r="Q188" i="4"/>
  <c r="Q184" i="4"/>
  <c r="Q180" i="4"/>
  <c r="Q176" i="4"/>
  <c r="Q172" i="4"/>
  <c r="Q168" i="4"/>
  <c r="L192" i="4"/>
  <c r="L188" i="4"/>
  <c r="L184" i="4"/>
  <c r="L180" i="4"/>
  <c r="L176" i="4"/>
  <c r="L172" i="4"/>
  <c r="L168" i="4"/>
  <c r="U179" i="4"/>
  <c r="S186" i="4"/>
  <c r="M186" i="4" s="1"/>
  <c r="T186" i="4" s="1"/>
  <c r="S170" i="4"/>
  <c r="M170" i="4" s="1"/>
  <c r="O192" i="4"/>
  <c r="O188" i="4"/>
  <c r="O184" i="4"/>
  <c r="O180" i="4"/>
  <c r="O176" i="4"/>
  <c r="O172" i="4"/>
  <c r="O168" i="4"/>
  <c r="S138" i="4"/>
  <c r="M138" i="4" s="1"/>
  <c r="S99" i="4"/>
  <c r="M99" i="4" s="1"/>
  <c r="S7" i="4"/>
  <c r="M7" i="4" s="1"/>
  <c r="S141" i="4"/>
  <c r="M141" i="4" s="1"/>
  <c r="S133" i="4"/>
  <c r="M133" i="4" s="1"/>
  <c r="S125" i="4"/>
  <c r="M125" i="4" s="1"/>
  <c r="L166" i="4"/>
  <c r="O166" i="4"/>
  <c r="L162" i="4"/>
  <c r="O162" i="4"/>
  <c r="L158" i="4"/>
  <c r="O158" i="4"/>
  <c r="L154" i="4"/>
  <c r="O154" i="4"/>
  <c r="O139" i="4"/>
  <c r="S139" i="4" s="1"/>
  <c r="M139" i="4" s="1"/>
  <c r="O123" i="4"/>
  <c r="S123" i="4" s="1"/>
  <c r="O107" i="4"/>
  <c r="S107" i="4" s="1"/>
  <c r="M107" i="4" s="1"/>
  <c r="T107" i="4" s="1"/>
  <c r="O91" i="4"/>
  <c r="S91" i="4" s="1"/>
  <c r="M91" i="4" s="1"/>
  <c r="O75" i="4"/>
  <c r="S75" i="4" s="1"/>
  <c r="M75" i="4" s="1"/>
  <c r="O59" i="4"/>
  <c r="S59" i="4" s="1"/>
  <c r="O43" i="4"/>
  <c r="S43" i="4" s="1"/>
  <c r="M43" i="4" s="1"/>
  <c r="O27" i="4"/>
  <c r="S27" i="4" s="1"/>
  <c r="M27" i="4" s="1"/>
  <c r="O11" i="4"/>
  <c r="S11" i="4" s="1"/>
  <c r="M11" i="4" s="1"/>
  <c r="L164" i="4"/>
  <c r="S193" i="4"/>
  <c r="M193" i="4" s="1"/>
  <c r="S177" i="4"/>
  <c r="M177" i="4" s="1"/>
  <c r="S147" i="4"/>
  <c r="M147" i="4" s="1"/>
  <c r="S135" i="4"/>
  <c r="M135" i="4" s="1"/>
  <c r="S131" i="4"/>
  <c r="M131" i="4" s="1"/>
  <c r="S119" i="4"/>
  <c r="M119" i="4" s="1"/>
  <c r="S115" i="4"/>
  <c r="M115" i="4" s="1"/>
  <c r="S87" i="4"/>
  <c r="M87" i="4" s="1"/>
  <c r="S67" i="4"/>
  <c r="M67" i="4" s="1"/>
  <c r="T67" i="4" s="1"/>
  <c r="S23" i="4"/>
  <c r="M23" i="4" s="1"/>
  <c r="S165" i="4"/>
  <c r="S161" i="4"/>
  <c r="M161" i="4" s="1"/>
  <c r="S157" i="4"/>
  <c r="M157" i="4" s="1"/>
  <c r="S153" i="4"/>
  <c r="M153" i="4" s="1"/>
  <c r="S128" i="4"/>
  <c r="M128" i="4" s="1"/>
  <c r="S150" i="4"/>
  <c r="S142" i="4"/>
  <c r="S130" i="4"/>
  <c r="S118" i="4"/>
  <c r="S110" i="4"/>
  <c r="S106" i="4"/>
  <c r="S102" i="4"/>
  <c r="S98" i="4"/>
  <c r="S90" i="4"/>
  <c r="S86" i="4"/>
  <c r="S82" i="4"/>
  <c r="S78" i="4"/>
  <c r="S70" i="4"/>
  <c r="S66" i="4"/>
  <c r="S62" i="4"/>
  <c r="S58" i="4"/>
  <c r="S54" i="4"/>
  <c r="S50" i="4"/>
  <c r="S46" i="4"/>
  <c r="S42" i="4"/>
  <c r="S26" i="4"/>
  <c r="S22" i="4"/>
  <c r="M22" i="4" s="1"/>
  <c r="S18" i="4"/>
  <c r="S14" i="4"/>
  <c r="S10" i="4"/>
  <c r="S6" i="4"/>
  <c r="M6" i="4" s="1"/>
  <c r="S145" i="4"/>
  <c r="M145" i="4" s="1"/>
  <c r="S137" i="4"/>
  <c r="M137" i="4" s="1"/>
  <c r="S129" i="4"/>
  <c r="M129" i="4" s="1"/>
  <c r="S121" i="4"/>
  <c r="M121" i="4" s="1"/>
  <c r="S113" i="4"/>
  <c r="M113" i="4" s="1"/>
  <c r="S109" i="4"/>
  <c r="M109" i="4" s="1"/>
  <c r="S105" i="4"/>
  <c r="M105" i="4" s="1"/>
  <c r="S101" i="4"/>
  <c r="M101" i="4" s="1"/>
  <c r="S97" i="4"/>
  <c r="M97" i="4" s="1"/>
  <c r="S93" i="4"/>
  <c r="M93" i="4" s="1"/>
  <c r="S89" i="4"/>
  <c r="M89" i="4" s="1"/>
  <c r="S85" i="4"/>
  <c r="M85" i="4" s="1"/>
  <c r="S81" i="4"/>
  <c r="M81" i="4" s="1"/>
  <c r="S77" i="4"/>
  <c r="M77" i="4" s="1"/>
  <c r="S73" i="4"/>
  <c r="M73" i="4" s="1"/>
  <c r="S69" i="4"/>
  <c r="M69" i="4" s="1"/>
  <c r="S65" i="4"/>
  <c r="M65" i="4" s="1"/>
  <c r="S61" i="4"/>
  <c r="M61" i="4" s="1"/>
  <c r="S57" i="4"/>
  <c r="M57" i="4" s="1"/>
  <c r="S53" i="4"/>
  <c r="M53" i="4" s="1"/>
  <c r="S49" i="4"/>
  <c r="M49" i="4" s="1"/>
  <c r="S45" i="4"/>
  <c r="S41" i="4"/>
  <c r="M41" i="4" s="1"/>
  <c r="S29" i="4"/>
  <c r="S25" i="4"/>
  <c r="M25" i="4" s="1"/>
  <c r="S21" i="4"/>
  <c r="S17" i="4"/>
  <c r="M17" i="4" s="1"/>
  <c r="S13" i="4"/>
  <c r="S9" i="4"/>
  <c r="M9" i="4" s="1"/>
  <c r="S5" i="4"/>
  <c r="S146" i="4"/>
  <c r="S134" i="4"/>
  <c r="S126" i="4"/>
  <c r="S114" i="4"/>
  <c r="S74" i="4"/>
  <c r="S124" i="4" l="1"/>
  <c r="M124" i="4" s="1"/>
  <c r="T197" i="4"/>
  <c r="M200" i="4"/>
  <c r="T196" i="4"/>
  <c r="S16" i="4"/>
  <c r="M16" i="4" s="1"/>
  <c r="S47" i="4"/>
  <c r="M47" i="4" s="1"/>
  <c r="T179" i="4"/>
  <c r="S12" i="4"/>
  <c r="M12" i="4" s="1"/>
  <c r="S190" i="4"/>
  <c r="M190" i="4" s="1"/>
  <c r="S185" i="4"/>
  <c r="M185" i="4" s="1"/>
  <c r="T185" i="4" s="1"/>
  <c r="S136" i="4"/>
  <c r="M136" i="4" s="1"/>
  <c r="S79" i="4"/>
  <c r="M79" i="4" s="1"/>
  <c r="T79" i="4" s="1"/>
  <c r="S15" i="4"/>
  <c r="M15" i="4" s="1"/>
  <c r="T117" i="4"/>
  <c r="S155" i="4"/>
  <c r="M155" i="4" s="1"/>
  <c r="S95" i="4"/>
  <c r="M95" i="4" s="1"/>
  <c r="S44" i="4"/>
  <c r="M44" i="4" s="1"/>
  <c r="S92" i="4"/>
  <c r="M92" i="4" s="1"/>
  <c r="S127" i="4"/>
  <c r="M127" i="4" s="1"/>
  <c r="S4" i="4"/>
  <c r="M4" i="4" s="1"/>
  <c r="S72" i="4"/>
  <c r="M72" i="4" s="1"/>
  <c r="S120" i="4"/>
  <c r="M120" i="4" s="1"/>
  <c r="S166" i="4"/>
  <c r="M166" i="4" s="1"/>
  <c r="M199" i="4"/>
  <c r="S174" i="4"/>
  <c r="M174" i="4" s="1"/>
  <c r="T191" i="4"/>
  <c r="S176" i="4"/>
  <c r="M176" i="4" s="1"/>
  <c r="S181" i="4"/>
  <c r="M181" i="4" s="1"/>
  <c r="T181" i="4" s="1"/>
  <c r="S178" i="4"/>
  <c r="M178" i="4" s="1"/>
  <c r="T178" i="4" s="1"/>
  <c r="S182" i="4"/>
  <c r="M182" i="4" s="1"/>
  <c r="T182" i="4" s="1"/>
  <c r="S159" i="4"/>
  <c r="M159" i="4" s="1"/>
  <c r="S63" i="4"/>
  <c r="M63" i="4" s="1"/>
  <c r="S111" i="4"/>
  <c r="M111" i="4" s="1"/>
  <c r="S169" i="4"/>
  <c r="M169" i="4" s="1"/>
  <c r="S173" i="4"/>
  <c r="M173" i="4" s="1"/>
  <c r="S189" i="4"/>
  <c r="M189" i="4" s="1"/>
  <c r="S140" i="4"/>
  <c r="M140" i="4" s="1"/>
  <c r="S194" i="4"/>
  <c r="M194" i="4" s="1"/>
  <c r="S154" i="4"/>
  <c r="M154" i="4" s="1"/>
  <c r="V191" i="4"/>
  <c r="W191" i="4"/>
  <c r="T198" i="4"/>
  <c r="U191" i="4"/>
  <c r="S40" i="4"/>
  <c r="M40" i="4" s="1"/>
  <c r="S132" i="4"/>
  <c r="M132" i="4" s="1"/>
  <c r="T132" i="4" s="1"/>
  <c r="T133" i="4"/>
  <c r="W117" i="4"/>
  <c r="S180" i="4"/>
  <c r="M180" i="4" s="1"/>
  <c r="S52" i="4"/>
  <c r="M52" i="4" s="1"/>
  <c r="S172" i="4"/>
  <c r="M172" i="4" s="1"/>
  <c r="S188" i="4"/>
  <c r="M188" i="4" s="1"/>
  <c r="S20" i="4"/>
  <c r="M20" i="4" s="1"/>
  <c r="S56" i="4"/>
  <c r="M56" i="4" s="1"/>
  <c r="T56" i="4" s="1"/>
  <c r="S60" i="4"/>
  <c r="M60" i="4" s="1"/>
  <c r="W60" i="4" s="1"/>
  <c r="S68" i="4"/>
  <c r="M68" i="4" s="1"/>
  <c r="S76" i="4"/>
  <c r="M76" i="4" s="1"/>
  <c r="T76" i="4" s="1"/>
  <c r="S84" i="4"/>
  <c r="M84" i="4" s="1"/>
  <c r="T84" i="4" s="1"/>
  <c r="S88" i="4"/>
  <c r="S100" i="4"/>
  <c r="M100" i="4" s="1"/>
  <c r="S104" i="4"/>
  <c r="M104" i="4" s="1"/>
  <c r="S116" i="4"/>
  <c r="M116" i="4" s="1"/>
  <c r="T116" i="4" s="1"/>
  <c r="S148" i="4"/>
  <c r="M148" i="4" s="1"/>
  <c r="T148" i="4" s="1"/>
  <c r="T101" i="4"/>
  <c r="V175" i="4"/>
  <c r="T175" i="4"/>
  <c r="U175" i="4"/>
  <c r="T195" i="4"/>
  <c r="T125" i="4"/>
  <c r="T71" i="4"/>
  <c r="W175" i="4"/>
  <c r="T139" i="4"/>
  <c r="S184" i="4"/>
  <c r="M184" i="4" s="1"/>
  <c r="T184" i="4" s="1"/>
  <c r="S162" i="4"/>
  <c r="M162" i="4" s="1"/>
  <c r="S8" i="4"/>
  <c r="M8" i="4" s="1"/>
  <c r="S24" i="4"/>
  <c r="M24" i="4" s="1"/>
  <c r="N24" i="4" s="1"/>
  <c r="S64" i="4"/>
  <c r="M64" i="4" s="1"/>
  <c r="S80" i="4"/>
  <c r="M80" i="4" s="1"/>
  <c r="S96" i="4"/>
  <c r="M96" i="4" s="1"/>
  <c r="T96" i="4" s="1"/>
  <c r="S112" i="4"/>
  <c r="M112" i="4" s="1"/>
  <c r="S158" i="4"/>
  <c r="M158" i="4" s="1"/>
  <c r="T85" i="4"/>
  <c r="W149" i="4"/>
  <c r="T128" i="4"/>
  <c r="T115" i="4"/>
  <c r="T157" i="4"/>
  <c r="T149" i="4"/>
  <c r="T138" i="4"/>
  <c r="V149" i="4"/>
  <c r="U187" i="4"/>
  <c r="N171" i="4"/>
  <c r="V171" i="4"/>
  <c r="S108" i="4"/>
  <c r="M108" i="4" s="1"/>
  <c r="T108" i="4" s="1"/>
  <c r="T99" i="4"/>
  <c r="N149" i="4"/>
  <c r="N187" i="4"/>
  <c r="V187" i="4"/>
  <c r="T144" i="4"/>
  <c r="S168" i="4"/>
  <c r="M168" i="4" s="1"/>
  <c r="N183" i="4"/>
  <c r="V183" i="4"/>
  <c r="N117" i="4"/>
  <c r="U117" i="4"/>
  <c r="T131" i="4"/>
  <c r="T141" i="4"/>
  <c r="T75" i="4"/>
  <c r="T147" i="4"/>
  <c r="T87" i="4"/>
  <c r="W177" i="4"/>
  <c r="V177" i="4"/>
  <c r="N177" i="4"/>
  <c r="U177" i="4"/>
  <c r="V176" i="4"/>
  <c r="N176" i="4"/>
  <c r="U176" i="4"/>
  <c r="W176" i="4"/>
  <c r="T69" i="4"/>
  <c r="T129" i="4"/>
  <c r="V169" i="4"/>
  <c r="N169" i="4"/>
  <c r="U169" i="4"/>
  <c r="W181" i="4"/>
  <c r="V181" i="4"/>
  <c r="N181" i="4"/>
  <c r="U181" i="4"/>
  <c r="N174" i="4"/>
  <c r="U174" i="4"/>
  <c r="V174" i="4"/>
  <c r="N190" i="4"/>
  <c r="U190" i="4"/>
  <c r="V190" i="4"/>
  <c r="V184" i="4"/>
  <c r="N184" i="4"/>
  <c r="U184" i="4"/>
  <c r="W184" i="4"/>
  <c r="V188" i="4"/>
  <c r="V173" i="4"/>
  <c r="N173" i="4"/>
  <c r="U173" i="4"/>
  <c r="V193" i="4"/>
  <c r="N193" i="4"/>
  <c r="U193" i="4"/>
  <c r="T137" i="4"/>
  <c r="T161" i="4"/>
  <c r="N170" i="4"/>
  <c r="U170" i="4"/>
  <c r="V170" i="4"/>
  <c r="W178" i="4"/>
  <c r="U178" i="4"/>
  <c r="V178" i="4"/>
  <c r="N178" i="4"/>
  <c r="W186" i="4"/>
  <c r="U186" i="4"/>
  <c r="V186" i="4"/>
  <c r="N186" i="4"/>
  <c r="U194" i="4"/>
  <c r="V194" i="4"/>
  <c r="N194" i="4"/>
  <c r="T177" i="4"/>
  <c r="N121" i="4"/>
  <c r="V121" i="4"/>
  <c r="W121" i="4"/>
  <c r="U121" i="4"/>
  <c r="T121" i="4"/>
  <c r="N27" i="4"/>
  <c r="V27" i="4"/>
  <c r="U27" i="4"/>
  <c r="N143" i="4"/>
  <c r="U143" i="4"/>
  <c r="V143" i="4"/>
  <c r="W143" i="4"/>
  <c r="T143" i="4"/>
  <c r="M59" i="4"/>
  <c r="T59" i="4" s="1"/>
  <c r="M123" i="4"/>
  <c r="T123" i="4" s="1"/>
  <c r="N127" i="4"/>
  <c r="U127" i="4"/>
  <c r="V127" i="4"/>
  <c r="W127" i="4"/>
  <c r="N124" i="4"/>
  <c r="U124" i="4"/>
  <c r="V124" i="4"/>
  <c r="W124" i="4"/>
  <c r="T124" i="4"/>
  <c r="V111" i="4"/>
  <c r="N111" i="4"/>
  <c r="W111" i="4"/>
  <c r="U111" i="4"/>
  <c r="N137" i="4"/>
  <c r="W137" i="4"/>
  <c r="V137" i="4"/>
  <c r="U137" i="4"/>
  <c r="N61" i="4"/>
  <c r="W61" i="4"/>
  <c r="V61" i="4"/>
  <c r="U61" i="4"/>
  <c r="N93" i="4"/>
  <c r="V93" i="4"/>
  <c r="W93" i="4"/>
  <c r="U93" i="4"/>
  <c r="W164" i="4"/>
  <c r="N164" i="4"/>
  <c r="U164" i="4"/>
  <c r="V164" i="4"/>
  <c r="N120" i="4"/>
  <c r="U120" i="4"/>
  <c r="W120" i="4"/>
  <c r="V120" i="4"/>
  <c r="N68" i="4"/>
  <c r="V68" i="4"/>
  <c r="W68" i="4"/>
  <c r="U68" i="4"/>
  <c r="N100" i="4"/>
  <c r="V100" i="4"/>
  <c r="U100" i="4"/>
  <c r="W100" i="4"/>
  <c r="N11" i="4"/>
  <c r="V11" i="4"/>
  <c r="U11" i="4"/>
  <c r="V103" i="4"/>
  <c r="N103" i="4"/>
  <c r="U103" i="4"/>
  <c r="W103" i="4"/>
  <c r="V15" i="4"/>
  <c r="N15" i="4"/>
  <c r="U15" i="4"/>
  <c r="T91" i="4"/>
  <c r="N7" i="4"/>
  <c r="V7" i="4"/>
  <c r="U7" i="4"/>
  <c r="T61" i="4"/>
  <c r="T93" i="4"/>
  <c r="N148" i="4"/>
  <c r="N17" i="4"/>
  <c r="U17" i="4"/>
  <c r="V17" i="4"/>
  <c r="N49" i="4"/>
  <c r="U49" i="4"/>
  <c r="V49" i="4"/>
  <c r="N65" i="4"/>
  <c r="U65" i="4"/>
  <c r="V65" i="4"/>
  <c r="W65" i="4"/>
  <c r="N81" i="4"/>
  <c r="U81" i="4"/>
  <c r="V81" i="4"/>
  <c r="W81" i="4"/>
  <c r="N97" i="4"/>
  <c r="U97" i="4"/>
  <c r="W97" i="4"/>
  <c r="V97" i="4"/>
  <c r="N113" i="4"/>
  <c r="U113" i="4"/>
  <c r="W113" i="4"/>
  <c r="V113" i="4"/>
  <c r="N145" i="4"/>
  <c r="U145" i="4"/>
  <c r="W145" i="4"/>
  <c r="V145" i="4"/>
  <c r="N155" i="4"/>
  <c r="V155" i="4"/>
  <c r="W155" i="4"/>
  <c r="U155" i="4"/>
  <c r="N138" i="4"/>
  <c r="U138" i="4"/>
  <c r="V138" i="4"/>
  <c r="W138" i="4"/>
  <c r="N159" i="4"/>
  <c r="W159" i="4"/>
  <c r="U159" i="4"/>
  <c r="V159" i="4"/>
  <c r="N151" i="4"/>
  <c r="U151" i="4"/>
  <c r="V151" i="4"/>
  <c r="W151" i="4"/>
  <c r="N166" i="4"/>
  <c r="U166" i="4"/>
  <c r="V166" i="4"/>
  <c r="W152" i="4"/>
  <c r="N152" i="4"/>
  <c r="U152" i="4"/>
  <c r="V152" i="4"/>
  <c r="N128" i="4"/>
  <c r="V128" i="4"/>
  <c r="U128" i="4"/>
  <c r="W128" i="4"/>
  <c r="N157" i="4"/>
  <c r="V157" i="4"/>
  <c r="U157" i="4"/>
  <c r="W157" i="4"/>
  <c r="N72" i="4"/>
  <c r="V72" i="4"/>
  <c r="W72" i="4"/>
  <c r="U72" i="4"/>
  <c r="N51" i="4"/>
  <c r="V51" i="4"/>
  <c r="U51" i="4"/>
  <c r="V67" i="4"/>
  <c r="N67" i="4"/>
  <c r="W67" i="4"/>
  <c r="U67" i="4"/>
  <c r="N139" i="4"/>
  <c r="V139" i="4"/>
  <c r="U139" i="4"/>
  <c r="W139" i="4"/>
  <c r="N125" i="4"/>
  <c r="W125" i="4"/>
  <c r="U125" i="4"/>
  <c r="V125" i="4"/>
  <c r="V71" i="4"/>
  <c r="N71" i="4"/>
  <c r="U71" i="4"/>
  <c r="W71" i="4"/>
  <c r="N53" i="4"/>
  <c r="V53" i="4"/>
  <c r="U53" i="4"/>
  <c r="N85" i="4"/>
  <c r="U85" i="4"/>
  <c r="V85" i="4"/>
  <c r="W85" i="4"/>
  <c r="N6" i="4"/>
  <c r="U6" i="4"/>
  <c r="V6" i="4"/>
  <c r="N154" i="4"/>
  <c r="U154" i="4"/>
  <c r="W154" i="4"/>
  <c r="V154" i="4"/>
  <c r="N158" i="4"/>
  <c r="U158" i="4"/>
  <c r="V158" i="4"/>
  <c r="W158" i="4"/>
  <c r="N167" i="4"/>
  <c r="U167" i="4"/>
  <c r="V167" i="4"/>
  <c r="W167" i="4"/>
  <c r="N104" i="4"/>
  <c r="W104" i="4"/>
  <c r="V104" i="4"/>
  <c r="U104" i="4"/>
  <c r="N136" i="4"/>
  <c r="U136" i="4"/>
  <c r="V136" i="4"/>
  <c r="W136" i="4"/>
  <c r="N28" i="4"/>
  <c r="U28" i="4"/>
  <c r="V28" i="4"/>
  <c r="N44" i="4"/>
  <c r="U44" i="4"/>
  <c r="V44" i="4"/>
  <c r="V60" i="4"/>
  <c r="N92" i="4"/>
  <c r="U92" i="4"/>
  <c r="V92" i="4"/>
  <c r="W92" i="4"/>
  <c r="V75" i="4"/>
  <c r="N75" i="4"/>
  <c r="W75" i="4"/>
  <c r="U75" i="4"/>
  <c r="V91" i="4"/>
  <c r="N91" i="4"/>
  <c r="W91" i="4"/>
  <c r="U91" i="4"/>
  <c r="N133" i="4"/>
  <c r="U133" i="4"/>
  <c r="V133" i="4"/>
  <c r="W133" i="4"/>
  <c r="V99" i="4"/>
  <c r="N99" i="4"/>
  <c r="U99" i="4"/>
  <c r="W99" i="4"/>
  <c r="N69" i="4"/>
  <c r="U69" i="4"/>
  <c r="V69" i="4"/>
  <c r="W69" i="4"/>
  <c r="N101" i="4"/>
  <c r="V101" i="4"/>
  <c r="W101" i="4"/>
  <c r="U101" i="4"/>
  <c r="N22" i="4"/>
  <c r="U22" i="4"/>
  <c r="V22" i="4"/>
  <c r="V79" i="4"/>
  <c r="N79" i="4"/>
  <c r="W79" i="4"/>
  <c r="U79" i="4"/>
  <c r="N161" i="4"/>
  <c r="V161" i="4"/>
  <c r="U161" i="4"/>
  <c r="W161" i="4"/>
  <c r="N19" i="4"/>
  <c r="V19" i="4"/>
  <c r="U19" i="4"/>
  <c r="N23" i="4"/>
  <c r="V23" i="4"/>
  <c r="U23" i="4"/>
  <c r="T77" i="4"/>
  <c r="T109" i="4"/>
  <c r="N43" i="4"/>
  <c r="V43" i="4"/>
  <c r="U43" i="4"/>
  <c r="N116" i="4"/>
  <c r="V116" i="4"/>
  <c r="W116" i="4"/>
  <c r="U116" i="4"/>
  <c r="N132" i="4"/>
  <c r="U132" i="4"/>
  <c r="W132" i="4"/>
  <c r="V132" i="4"/>
  <c r="N9" i="4"/>
  <c r="V9" i="4"/>
  <c r="U9" i="4"/>
  <c r="N25" i="4"/>
  <c r="V25" i="4"/>
  <c r="U25" i="4"/>
  <c r="N41" i="4"/>
  <c r="V41" i="4"/>
  <c r="U41" i="4"/>
  <c r="N57" i="4"/>
  <c r="V57" i="4"/>
  <c r="U57" i="4"/>
  <c r="W57" i="4"/>
  <c r="N73" i="4"/>
  <c r="V73" i="4"/>
  <c r="W73" i="4"/>
  <c r="U73" i="4"/>
  <c r="N89" i="4"/>
  <c r="V89" i="4"/>
  <c r="W89" i="4"/>
  <c r="U89" i="4"/>
  <c r="N105" i="4"/>
  <c r="V105" i="4"/>
  <c r="U105" i="4"/>
  <c r="W105" i="4"/>
  <c r="N129" i="4"/>
  <c r="U129" i="4"/>
  <c r="W129" i="4"/>
  <c r="V129" i="4"/>
  <c r="T164" i="4"/>
  <c r="N163" i="4"/>
  <c r="U163" i="4"/>
  <c r="V163" i="4"/>
  <c r="W163" i="4"/>
  <c r="W160" i="4"/>
  <c r="V160" i="4"/>
  <c r="N160" i="4"/>
  <c r="U160" i="4"/>
  <c r="V87" i="4"/>
  <c r="N87" i="4"/>
  <c r="U87" i="4"/>
  <c r="W87" i="4"/>
  <c r="N144" i="4"/>
  <c r="V144" i="4"/>
  <c r="W144" i="4"/>
  <c r="U144" i="4"/>
  <c r="N16" i="4"/>
  <c r="V16" i="4"/>
  <c r="U16" i="4"/>
  <c r="N48" i="4"/>
  <c r="U48" i="4"/>
  <c r="V48" i="4"/>
  <c r="V115" i="4"/>
  <c r="N115" i="4"/>
  <c r="U115" i="4"/>
  <c r="W115" i="4"/>
  <c r="N131" i="4"/>
  <c r="U131" i="4"/>
  <c r="V131" i="4"/>
  <c r="W131" i="4"/>
  <c r="N147" i="4"/>
  <c r="U147" i="4"/>
  <c r="V147" i="4"/>
  <c r="W147" i="4"/>
  <c r="T163" i="4"/>
  <c r="N141" i="4"/>
  <c r="U141" i="4"/>
  <c r="W141" i="4"/>
  <c r="V141" i="4"/>
  <c r="V47" i="4"/>
  <c r="N47" i="4"/>
  <c r="U47" i="4"/>
  <c r="N77" i="4"/>
  <c r="U77" i="4"/>
  <c r="W77" i="4"/>
  <c r="V77" i="4"/>
  <c r="N109" i="4"/>
  <c r="W109" i="4"/>
  <c r="V109" i="4"/>
  <c r="U109" i="4"/>
  <c r="W156" i="4"/>
  <c r="U156" i="4"/>
  <c r="V156" i="4"/>
  <c r="N156" i="4"/>
  <c r="V107" i="4"/>
  <c r="N107" i="4"/>
  <c r="U107" i="4"/>
  <c r="W107" i="4"/>
  <c r="N162" i="4"/>
  <c r="U162" i="4"/>
  <c r="V162" i="4"/>
  <c r="W162" i="4"/>
  <c r="N153" i="4"/>
  <c r="V153" i="4"/>
  <c r="U153" i="4"/>
  <c r="W153" i="4"/>
  <c r="N20" i="4"/>
  <c r="V20" i="4"/>
  <c r="U20" i="4"/>
  <c r="N140" i="4"/>
  <c r="U140" i="4"/>
  <c r="V140" i="4"/>
  <c r="W140" i="4"/>
  <c r="V83" i="4"/>
  <c r="N83" i="4"/>
  <c r="W83" i="4"/>
  <c r="U83" i="4"/>
  <c r="V119" i="4"/>
  <c r="N119" i="4"/>
  <c r="U119" i="4"/>
  <c r="W119" i="4"/>
  <c r="N135" i="4"/>
  <c r="U135" i="4"/>
  <c r="V135" i="4"/>
  <c r="W135" i="4"/>
  <c r="T151" i="4"/>
  <c r="T167" i="4"/>
  <c r="T97" i="4"/>
  <c r="T145" i="4"/>
  <c r="T113" i="4"/>
  <c r="M88" i="4"/>
  <c r="T103" i="4"/>
  <c r="T119" i="4"/>
  <c r="T135" i="4"/>
  <c r="T81" i="4"/>
  <c r="T83" i="4"/>
  <c r="T65" i="4"/>
  <c r="T153" i="4"/>
  <c r="M165" i="4"/>
  <c r="M26" i="4"/>
  <c r="M78" i="4"/>
  <c r="M142" i="4"/>
  <c r="T142" i="4" s="1"/>
  <c r="M134" i="4"/>
  <c r="T134" i="4" s="1"/>
  <c r="M13" i="4"/>
  <c r="M29" i="4"/>
  <c r="M45" i="4"/>
  <c r="M14" i="4"/>
  <c r="M46" i="4"/>
  <c r="M62" i="4"/>
  <c r="T62" i="4" s="1"/>
  <c r="M82" i="4"/>
  <c r="T82" i="4" s="1"/>
  <c r="M98" i="4"/>
  <c r="T98" i="4" s="1"/>
  <c r="M118" i="4"/>
  <c r="T118" i="4" s="1"/>
  <c r="M150" i="4"/>
  <c r="T150" i="4" s="1"/>
  <c r="M126" i="4"/>
  <c r="T126" i="4" s="1"/>
  <c r="M10" i="4"/>
  <c r="M58" i="4"/>
  <c r="T58" i="4" s="1"/>
  <c r="M94" i="4"/>
  <c r="M74" i="4"/>
  <c r="T74" i="4" s="1"/>
  <c r="M146" i="4"/>
  <c r="T146" i="4" s="1"/>
  <c r="M18" i="4"/>
  <c r="M50" i="4"/>
  <c r="M66" i="4"/>
  <c r="T66" i="4" s="1"/>
  <c r="M86" i="4"/>
  <c r="T86" i="4" s="1"/>
  <c r="M102" i="4"/>
  <c r="T102" i="4" s="1"/>
  <c r="M122" i="4"/>
  <c r="T122" i="4" s="1"/>
  <c r="M42" i="4"/>
  <c r="M110" i="4"/>
  <c r="T110" i="4" s="1"/>
  <c r="T57" i="4"/>
  <c r="T73" i="4"/>
  <c r="T89" i="4"/>
  <c r="T105" i="4"/>
  <c r="M114" i="4"/>
  <c r="T114" i="4" s="1"/>
  <c r="M5" i="4"/>
  <c r="M21" i="4"/>
  <c r="M54" i="4"/>
  <c r="M70" i="4"/>
  <c r="T70" i="4" s="1"/>
  <c r="M90" i="4"/>
  <c r="T90" i="4" s="1"/>
  <c r="M106" i="4"/>
  <c r="T106" i="4" s="1"/>
  <c r="M130" i="4"/>
  <c r="T130" i="4" s="1"/>
  <c r="T92" i="4" l="1"/>
  <c r="T120" i="4"/>
  <c r="T154" i="4"/>
  <c r="T159" i="4"/>
  <c r="T127" i="4"/>
  <c r="T136" i="4"/>
  <c r="T155" i="4"/>
  <c r="T158" i="4"/>
  <c r="T104" i="4"/>
  <c r="T72" i="4"/>
  <c r="T100" i="4"/>
  <c r="T68" i="4"/>
  <c r="T176" i="4"/>
  <c r="T140" i="4"/>
  <c r="T162" i="4"/>
  <c r="T111" i="4"/>
  <c r="U60" i="4"/>
  <c r="V108" i="4"/>
  <c r="U24" i="4"/>
  <c r="W148" i="4"/>
  <c r="T60" i="4"/>
  <c r="N60" i="4"/>
  <c r="V24" i="4"/>
  <c r="V148" i="4"/>
  <c r="U148" i="4"/>
  <c r="T80" i="4"/>
  <c r="U80" i="4"/>
  <c r="W80" i="4"/>
  <c r="N80" i="4"/>
  <c r="V80" i="4"/>
  <c r="T112" i="4"/>
  <c r="N112" i="4"/>
  <c r="U112" i="4"/>
  <c r="V112" i="4"/>
  <c r="W112" i="4"/>
  <c r="U108" i="4"/>
  <c r="V8" i="4"/>
  <c r="U188" i="4"/>
  <c r="N108" i="4"/>
  <c r="N8" i="4"/>
  <c r="N188" i="4"/>
  <c r="W108" i="4"/>
  <c r="U8" i="4"/>
  <c r="U182" i="4"/>
  <c r="N182" i="4"/>
  <c r="W182" i="4"/>
  <c r="V182" i="4"/>
  <c r="V180" i="4"/>
  <c r="W180" i="4"/>
  <c r="N180" i="4"/>
  <c r="U180" i="4"/>
  <c r="W185" i="4"/>
  <c r="V185" i="4"/>
  <c r="N185" i="4"/>
  <c r="U185" i="4"/>
  <c r="V168" i="4"/>
  <c r="N168" i="4"/>
  <c r="U168" i="4"/>
  <c r="T180" i="4"/>
  <c r="V172" i="4"/>
  <c r="N172" i="4"/>
  <c r="U172" i="4"/>
  <c r="W189" i="4"/>
  <c r="V189" i="4"/>
  <c r="N189" i="4"/>
  <c r="U189" i="4"/>
  <c r="T189" i="4"/>
  <c r="N94" i="4"/>
  <c r="U94" i="4"/>
  <c r="V94" i="4"/>
  <c r="W94" i="4"/>
  <c r="V95" i="4"/>
  <c r="N95" i="4"/>
  <c r="U95" i="4"/>
  <c r="W95" i="4"/>
  <c r="N64" i="4"/>
  <c r="U64" i="4"/>
  <c r="V64" i="4"/>
  <c r="W64" i="4"/>
  <c r="N165" i="4"/>
  <c r="V165" i="4"/>
  <c r="W165" i="4"/>
  <c r="U165" i="4"/>
  <c r="V63" i="4"/>
  <c r="N63" i="4"/>
  <c r="W63" i="4"/>
  <c r="U63" i="4"/>
  <c r="N12" i="4"/>
  <c r="U12" i="4"/>
  <c r="V12" i="4"/>
  <c r="N52" i="4"/>
  <c r="V52" i="4"/>
  <c r="U52" i="4"/>
  <c r="N88" i="4"/>
  <c r="W88" i="4"/>
  <c r="V88" i="4"/>
  <c r="U88" i="4"/>
  <c r="N40" i="4"/>
  <c r="V40" i="4"/>
  <c r="U40" i="4"/>
  <c r="N78" i="4"/>
  <c r="U78" i="4"/>
  <c r="V78" i="4"/>
  <c r="W78" i="4"/>
  <c r="N106" i="4"/>
  <c r="U106" i="4"/>
  <c r="W106" i="4"/>
  <c r="V106" i="4"/>
  <c r="N70" i="4"/>
  <c r="U70" i="4"/>
  <c r="V70" i="4"/>
  <c r="W70" i="4"/>
  <c r="N5" i="4"/>
  <c r="U5" i="4"/>
  <c r="V5" i="4"/>
  <c r="N42" i="4"/>
  <c r="U42" i="4"/>
  <c r="V42" i="4"/>
  <c r="N102" i="4"/>
  <c r="U102" i="4"/>
  <c r="V102" i="4"/>
  <c r="W102" i="4"/>
  <c r="N66" i="4"/>
  <c r="U66" i="4"/>
  <c r="W66" i="4"/>
  <c r="V66" i="4"/>
  <c r="N146" i="4"/>
  <c r="U146" i="4"/>
  <c r="V146" i="4"/>
  <c r="W146" i="4"/>
  <c r="T94" i="4"/>
  <c r="N10" i="4"/>
  <c r="U10" i="4"/>
  <c r="V10" i="4"/>
  <c r="N150" i="4"/>
  <c r="U150" i="4"/>
  <c r="V150" i="4"/>
  <c r="W150" i="4"/>
  <c r="N98" i="4"/>
  <c r="U98" i="4"/>
  <c r="W98" i="4"/>
  <c r="V98" i="4"/>
  <c r="N62" i="4"/>
  <c r="U62" i="4"/>
  <c r="V62" i="4"/>
  <c r="W62" i="4"/>
  <c r="N45" i="4"/>
  <c r="V45" i="4"/>
  <c r="U45" i="4"/>
  <c r="N13" i="4"/>
  <c r="U13" i="4"/>
  <c r="V13" i="4"/>
  <c r="N142" i="4"/>
  <c r="U142" i="4"/>
  <c r="V142" i="4"/>
  <c r="W142" i="4"/>
  <c r="N59" i="4"/>
  <c r="V59" i="4"/>
  <c r="W59" i="4"/>
  <c r="U59" i="4"/>
  <c r="N46" i="4"/>
  <c r="U46" i="4"/>
  <c r="V46" i="4"/>
  <c r="N14" i="4"/>
  <c r="U14" i="4"/>
  <c r="V14" i="4"/>
  <c r="N26" i="4"/>
  <c r="U26" i="4"/>
  <c r="V26" i="4"/>
  <c r="N96" i="4"/>
  <c r="V96" i="4"/>
  <c r="W96" i="4"/>
  <c r="U96" i="4"/>
  <c r="N76" i="4"/>
  <c r="U76" i="4"/>
  <c r="V76" i="4"/>
  <c r="W76" i="4"/>
  <c r="N84" i="4"/>
  <c r="V84" i="4"/>
  <c r="U84" i="4"/>
  <c r="W84" i="4"/>
  <c r="N4" i="4"/>
  <c r="V4" i="4"/>
  <c r="U4" i="4"/>
  <c r="N56" i="4"/>
  <c r="U56" i="4"/>
  <c r="W56" i="4"/>
  <c r="V56" i="4"/>
  <c r="N130" i="4"/>
  <c r="U130" i="4"/>
  <c r="V130" i="4"/>
  <c r="W130" i="4"/>
  <c r="N90" i="4"/>
  <c r="U90" i="4"/>
  <c r="V90" i="4"/>
  <c r="W90" i="4"/>
  <c r="N54" i="4"/>
  <c r="U54" i="4"/>
  <c r="V54" i="4"/>
  <c r="N21" i="4"/>
  <c r="U21" i="4"/>
  <c r="V21" i="4"/>
  <c r="N114" i="4"/>
  <c r="U114" i="4"/>
  <c r="V114" i="4"/>
  <c r="W114" i="4"/>
  <c r="N110" i="4"/>
  <c r="U110" i="4"/>
  <c r="V110" i="4"/>
  <c r="W110" i="4"/>
  <c r="N122" i="4"/>
  <c r="U122" i="4"/>
  <c r="V122" i="4"/>
  <c r="W122" i="4"/>
  <c r="N86" i="4"/>
  <c r="U86" i="4"/>
  <c r="V86" i="4"/>
  <c r="W86" i="4"/>
  <c r="N50" i="4"/>
  <c r="U50" i="4"/>
  <c r="V50" i="4"/>
  <c r="N18" i="4"/>
  <c r="U18" i="4"/>
  <c r="V18" i="4"/>
  <c r="N74" i="4"/>
  <c r="U74" i="4"/>
  <c r="V74" i="4"/>
  <c r="W74" i="4"/>
  <c r="N58" i="4"/>
  <c r="U58" i="4"/>
  <c r="V58" i="4"/>
  <c r="W58" i="4"/>
  <c r="N126" i="4"/>
  <c r="U126" i="4"/>
  <c r="V126" i="4"/>
  <c r="W126" i="4"/>
  <c r="N118" i="4"/>
  <c r="U118" i="4"/>
  <c r="W118" i="4"/>
  <c r="V118" i="4"/>
  <c r="N82" i="4"/>
  <c r="U82" i="4"/>
  <c r="W82" i="4"/>
  <c r="V82" i="4"/>
  <c r="N29" i="4"/>
  <c r="V29" i="4"/>
  <c r="U29" i="4"/>
  <c r="N134" i="4"/>
  <c r="U134" i="4"/>
  <c r="V134" i="4"/>
  <c r="W134" i="4"/>
  <c r="T78" i="4"/>
  <c r="T95" i="4"/>
  <c r="T64" i="4"/>
  <c r="T165" i="4"/>
  <c r="T63" i="4"/>
  <c r="T88" i="4"/>
  <c r="V123" i="4"/>
  <c r="N123" i="4"/>
  <c r="U123" i="4"/>
  <c r="W123" i="4"/>
  <c r="L63" i="15" l="1"/>
  <c r="L62" i="15"/>
  <c r="L61" i="15"/>
  <c r="L60" i="15"/>
  <c r="L59" i="15"/>
  <c r="L58" i="15"/>
  <c r="L57" i="15"/>
  <c r="L56" i="15"/>
  <c r="L55" i="15"/>
  <c r="L54" i="15"/>
  <c r="L53" i="15"/>
  <c r="L52" i="15"/>
  <c r="L51" i="15"/>
  <c r="L50" i="15"/>
  <c r="L49" i="15"/>
  <c r="L48" i="15"/>
  <c r="L47" i="15"/>
  <c r="L46" i="15"/>
  <c r="L45" i="15"/>
  <c r="L44" i="15"/>
  <c r="L43" i="15"/>
  <c r="L42" i="15"/>
  <c r="L41" i="15"/>
  <c r="L40" i="15"/>
  <c r="L39" i="15"/>
  <c r="L38" i="15"/>
  <c r="L37" i="15"/>
  <c r="L36" i="15"/>
  <c r="L35" i="15"/>
  <c r="L34" i="15"/>
  <c r="L33" i="15"/>
  <c r="L32" i="15"/>
  <c r="L31" i="15"/>
  <c r="L30" i="15"/>
  <c r="L29" i="15"/>
  <c r="L28" i="15"/>
  <c r="L27" i="15"/>
  <c r="L26" i="15"/>
  <c r="L25" i="15"/>
  <c r="L24" i="15"/>
  <c r="L23" i="15"/>
  <c r="L22" i="15"/>
  <c r="L21" i="15"/>
  <c r="L20" i="15"/>
  <c r="L19" i="15"/>
  <c r="L18" i="15"/>
  <c r="L17" i="15"/>
  <c r="L16" i="15"/>
  <c r="L15" i="15"/>
  <c r="L14" i="15"/>
  <c r="L13" i="15"/>
  <c r="L12" i="15"/>
  <c r="L11" i="15"/>
  <c r="L10" i="15"/>
  <c r="L9" i="15"/>
  <c r="L8" i="15"/>
  <c r="M84" i="9"/>
  <c r="M83" i="9"/>
  <c r="M82" i="9"/>
  <c r="M81" i="9"/>
  <c r="M80" i="9"/>
  <c r="M79" i="9"/>
  <c r="M78" i="9"/>
  <c r="M77" i="9"/>
  <c r="M76" i="9"/>
  <c r="M75" i="9"/>
  <c r="M74" i="9"/>
  <c r="M73" i="9"/>
  <c r="M72" i="9"/>
  <c r="M71" i="9"/>
  <c r="M70" i="9"/>
  <c r="M69" i="9"/>
  <c r="M68" i="9"/>
  <c r="M67" i="9"/>
  <c r="M66" i="9"/>
  <c r="M65" i="9"/>
  <c r="M64" i="9"/>
  <c r="M63" i="9"/>
  <c r="M62" i="9"/>
  <c r="M61" i="9"/>
  <c r="M60" i="9"/>
  <c r="M59" i="9"/>
  <c r="M58" i="9"/>
  <c r="M57" i="9"/>
  <c r="M56" i="9"/>
  <c r="M55" i="9"/>
  <c r="M54" i="9"/>
  <c r="M53" i="9"/>
  <c r="M52" i="9"/>
  <c r="M51" i="9"/>
  <c r="M50" i="9"/>
  <c r="M49" i="9"/>
  <c r="M48" i="9"/>
  <c r="M47" i="9"/>
  <c r="M46" i="9"/>
  <c r="M45" i="9"/>
  <c r="M44" i="9"/>
  <c r="M43" i="9"/>
  <c r="M42" i="9"/>
  <c r="M41" i="9"/>
  <c r="M40" i="9"/>
  <c r="M39" i="9"/>
  <c r="M38" i="9"/>
  <c r="M37" i="9"/>
  <c r="M36" i="9"/>
  <c r="M35" i="9"/>
  <c r="M34" i="9"/>
  <c r="M33" i="9"/>
  <c r="M32" i="9"/>
  <c r="M31" i="9"/>
  <c r="M30" i="9"/>
  <c r="M29" i="9"/>
  <c r="M28" i="9"/>
  <c r="M27" i="9"/>
  <c r="M26" i="9"/>
  <c r="M25" i="9"/>
  <c r="M24" i="9"/>
  <c r="M23" i="9"/>
  <c r="M22" i="9"/>
  <c r="M21" i="9"/>
  <c r="M20" i="9"/>
  <c r="M19" i="9"/>
  <c r="M18" i="9"/>
  <c r="M17" i="9"/>
  <c r="M16" i="9"/>
  <c r="M15" i="9"/>
  <c r="M14" i="9"/>
  <c r="M13" i="9"/>
  <c r="M12" i="9"/>
  <c r="M11" i="9"/>
  <c r="M10" i="9"/>
  <c r="M9" i="9"/>
  <c r="L72" i="13"/>
  <c r="L71" i="13"/>
  <c r="L70" i="13"/>
  <c r="L69" i="13"/>
  <c r="L68" i="13"/>
  <c r="L67" i="13"/>
  <c r="L66" i="13"/>
  <c r="L65" i="13"/>
  <c r="L64" i="13"/>
  <c r="L63" i="13"/>
  <c r="L62" i="13"/>
  <c r="L61" i="13"/>
  <c r="L60" i="13"/>
  <c r="L59" i="13"/>
  <c r="L58" i="13"/>
  <c r="L57" i="13"/>
  <c r="L56" i="13"/>
  <c r="L55" i="13"/>
  <c r="L54" i="13"/>
  <c r="L53" i="13"/>
  <c r="L52" i="13"/>
  <c r="L51" i="13"/>
  <c r="L50" i="13"/>
  <c r="L49" i="13"/>
  <c r="L48" i="13"/>
  <c r="L47" i="13"/>
  <c r="L46" i="13"/>
  <c r="L45" i="13"/>
  <c r="L44" i="13"/>
  <c r="L43" i="13"/>
  <c r="L42" i="13"/>
  <c r="L41" i="13"/>
  <c r="L40" i="13"/>
  <c r="L39" i="13"/>
  <c r="L38" i="13"/>
  <c r="L37" i="13"/>
  <c r="L36" i="13"/>
  <c r="L35" i="13"/>
  <c r="L34" i="13"/>
  <c r="L33" i="13"/>
  <c r="L32" i="13"/>
  <c r="L31" i="13"/>
  <c r="L30" i="13"/>
  <c r="L29" i="13"/>
  <c r="L28" i="13"/>
  <c r="L27" i="13"/>
  <c r="L26" i="13"/>
  <c r="L25" i="13"/>
  <c r="L24" i="13"/>
  <c r="L23" i="13"/>
  <c r="L22" i="13"/>
  <c r="L21" i="13"/>
  <c r="L20" i="13"/>
  <c r="L19" i="13"/>
  <c r="L18" i="13"/>
  <c r="L17" i="13"/>
  <c r="L16" i="13"/>
  <c r="L15" i="13"/>
  <c r="L14" i="13"/>
  <c r="L13" i="13"/>
  <c r="L12" i="13"/>
  <c r="L11" i="13"/>
  <c r="L10" i="13"/>
  <c r="L9" i="13"/>
  <c r="G2" i="30" l="1"/>
  <c r="K42" i="1" l="1"/>
  <c r="K43" i="1"/>
  <c r="K44" i="1"/>
  <c r="K45" i="1"/>
  <c r="K46" i="1"/>
  <c r="R42" i="1"/>
  <c r="R43" i="1"/>
  <c r="R44" i="1"/>
  <c r="R45" i="1"/>
  <c r="R46" i="1"/>
  <c r="Q9" i="9"/>
  <c r="K334" i="1"/>
  <c r="K335" i="1"/>
  <c r="K336" i="1"/>
  <c r="K337" i="1"/>
  <c r="K338" i="1"/>
  <c r="R334" i="1"/>
  <c r="R335" i="1"/>
  <c r="R336" i="1"/>
  <c r="R337" i="1"/>
  <c r="R338" i="1"/>
  <c r="K330" i="1"/>
  <c r="R330" i="1"/>
  <c r="K325" i="1"/>
  <c r="K326" i="1"/>
  <c r="K327" i="1"/>
  <c r="K328" i="1"/>
  <c r="R325" i="1"/>
  <c r="R326" i="1"/>
  <c r="R327" i="1"/>
  <c r="R328" i="1"/>
  <c r="K323" i="1"/>
  <c r="R323" i="1"/>
  <c r="K293" i="1"/>
  <c r="K294" i="1"/>
  <c r="K295" i="1"/>
  <c r="R293" i="1"/>
  <c r="R294" i="1"/>
  <c r="R295" i="1"/>
  <c r="K291" i="1"/>
  <c r="R291" i="1"/>
  <c r="K282" i="1"/>
  <c r="R282" i="1"/>
  <c r="K279" i="1"/>
  <c r="R279" i="1"/>
  <c r="K277" i="1"/>
  <c r="R277" i="1"/>
  <c r="K274" i="1"/>
  <c r="K275" i="1"/>
  <c r="R274" i="1"/>
  <c r="R275" i="1"/>
  <c r="K271" i="1"/>
  <c r="K272" i="1"/>
  <c r="R271" i="1"/>
  <c r="R272" i="1"/>
  <c r="K261" i="1"/>
  <c r="R261" i="1"/>
  <c r="K228" i="1" l="1"/>
  <c r="K229" i="1"/>
  <c r="K230" i="1"/>
  <c r="K231" i="1"/>
  <c r="R228" i="1"/>
  <c r="R229" i="1"/>
  <c r="R230" i="1"/>
  <c r="R231" i="1"/>
  <c r="K226" i="1"/>
  <c r="R226" i="1"/>
  <c r="K224" i="1"/>
  <c r="R224" i="1"/>
  <c r="K222" i="1"/>
  <c r="R222" i="1"/>
  <c r="K218" i="1"/>
  <c r="K219" i="1"/>
  <c r="K220" i="1"/>
  <c r="R218" i="1"/>
  <c r="R219" i="1"/>
  <c r="R220" i="1"/>
  <c r="K216" i="1"/>
  <c r="R216" i="1"/>
  <c r="K214" i="1"/>
  <c r="R214" i="1"/>
  <c r="K212" i="1"/>
  <c r="R212" i="1"/>
  <c r="K210" i="1"/>
  <c r="R210" i="1"/>
  <c r="K179" i="1"/>
  <c r="K180" i="1"/>
  <c r="K181" i="1"/>
  <c r="K182" i="1"/>
  <c r="K183" i="1"/>
  <c r="K184" i="1"/>
  <c r="K185" i="1"/>
  <c r="R179" i="1"/>
  <c r="R180" i="1"/>
  <c r="R181" i="1"/>
  <c r="R182" i="1"/>
  <c r="R183" i="1"/>
  <c r="R184" i="1"/>
  <c r="R185" i="1"/>
  <c r="K173" i="1"/>
  <c r="K174" i="1"/>
  <c r="K175" i="1"/>
  <c r="K176" i="1"/>
  <c r="K177" i="1"/>
  <c r="K178" i="1"/>
  <c r="R173" i="1"/>
  <c r="R174" i="1"/>
  <c r="R175" i="1"/>
  <c r="R176" i="1"/>
  <c r="R177" i="1"/>
  <c r="R178" i="1"/>
  <c r="K171" i="1"/>
  <c r="R171" i="1"/>
  <c r="K169" i="1"/>
  <c r="R169" i="1"/>
  <c r="K162" i="1"/>
  <c r="R162" i="1"/>
  <c r="K160" i="1"/>
  <c r="R160" i="1"/>
  <c r="K158" i="1"/>
  <c r="R158" i="1"/>
  <c r="K156" i="1"/>
  <c r="R156" i="1"/>
  <c r="K154" i="1"/>
  <c r="R154" i="1"/>
  <c r="K152" i="1"/>
  <c r="R152" i="1"/>
  <c r="K150" i="1"/>
  <c r="R150" i="1"/>
  <c r="K148" i="1"/>
  <c r="R148" i="1"/>
  <c r="K146" i="1"/>
  <c r="R146" i="1"/>
  <c r="K144" i="1"/>
  <c r="R144" i="1"/>
  <c r="K142" i="1"/>
  <c r="R142" i="1"/>
  <c r="K140" i="1"/>
  <c r="R140" i="1"/>
  <c r="K138" i="1"/>
  <c r="R138" i="1"/>
  <c r="K136" i="1"/>
  <c r="R136" i="1"/>
  <c r="K132" i="1"/>
  <c r="R132" i="1"/>
  <c r="K130" i="1"/>
  <c r="R130" i="1"/>
  <c r="K128" i="1"/>
  <c r="R128" i="1"/>
  <c r="K125" i="1"/>
  <c r="R125" i="1"/>
  <c r="K123" i="1"/>
  <c r="R123" i="1"/>
  <c r="K120" i="1"/>
  <c r="R120" i="1"/>
  <c r="K112" i="1"/>
  <c r="R112" i="1"/>
  <c r="K104" i="1"/>
  <c r="R104" i="1"/>
  <c r="K102" i="1"/>
  <c r="R102" i="1"/>
  <c r="K100" i="1"/>
  <c r="R100" i="1"/>
  <c r="K91" i="1"/>
  <c r="R91" i="1"/>
  <c r="K93" i="1"/>
  <c r="R93" i="1"/>
  <c r="K95" i="1"/>
  <c r="R95" i="1"/>
  <c r="K97" i="1"/>
  <c r="R97" i="1"/>
  <c r="K85" i="1"/>
  <c r="R85" i="1"/>
  <c r="K29" i="1"/>
  <c r="R29" i="1"/>
  <c r="K27" i="1"/>
  <c r="R27" i="1"/>
  <c r="L16" i="16" l="1"/>
  <c r="M16" i="16"/>
  <c r="M48" i="16"/>
  <c r="L48" i="16"/>
  <c r="L45" i="16"/>
  <c r="M45" i="16"/>
  <c r="L42" i="16"/>
  <c r="M42" i="16"/>
  <c r="L38" i="16"/>
  <c r="M38" i="16"/>
  <c r="L39" i="16"/>
  <c r="M39" i="16"/>
  <c r="L41" i="16"/>
  <c r="M41" i="16"/>
  <c r="M30" i="16"/>
  <c r="L30" i="16"/>
  <c r="M24" i="16"/>
  <c r="L24" i="16"/>
  <c r="L22" i="16"/>
  <c r="M22" i="16"/>
  <c r="L23" i="16"/>
  <c r="M23" i="16"/>
  <c r="L26" i="16"/>
  <c r="M26" i="16"/>
  <c r="L27" i="16"/>
  <c r="M27" i="16"/>
  <c r="L29" i="16"/>
  <c r="M29" i="16"/>
  <c r="L21" i="16"/>
  <c r="M21" i="16"/>
  <c r="L25" i="16"/>
  <c r="M25" i="16"/>
  <c r="L31" i="16"/>
  <c r="M31" i="16"/>
  <c r="L35" i="16"/>
  <c r="M35" i="16"/>
  <c r="L32" i="16"/>
  <c r="M32" i="16"/>
  <c r="L33" i="16"/>
  <c r="M33" i="16"/>
  <c r="L34" i="16"/>
  <c r="M34" i="16"/>
  <c r="L36" i="16"/>
  <c r="M36" i="16"/>
  <c r="L43" i="16"/>
  <c r="M43" i="16"/>
  <c r="L40" i="16"/>
  <c r="M40" i="16"/>
  <c r="L44" i="16"/>
  <c r="M44" i="16"/>
  <c r="L47" i="16"/>
  <c r="M47" i="16"/>
  <c r="L46" i="16"/>
  <c r="M46" i="16"/>
  <c r="L49" i="16"/>
  <c r="M49" i="16"/>
  <c r="L51" i="16"/>
  <c r="M51" i="16"/>
  <c r="L52" i="16"/>
  <c r="M52" i="16"/>
  <c r="L53" i="16"/>
  <c r="M53" i="16"/>
  <c r="L54" i="16"/>
  <c r="M54" i="16"/>
  <c r="L55" i="16"/>
  <c r="M55" i="16"/>
  <c r="L56" i="16"/>
  <c r="M56" i="16"/>
  <c r="L50" i="16"/>
  <c r="M50" i="16"/>
  <c r="L15" i="16"/>
  <c r="M15" i="16"/>
  <c r="L17" i="16"/>
  <c r="M17" i="16"/>
  <c r="L18" i="16"/>
  <c r="M18" i="16"/>
  <c r="L19" i="16"/>
  <c r="M19" i="16"/>
  <c r="L20" i="16"/>
  <c r="M20" i="16"/>
  <c r="L37" i="16"/>
  <c r="M37" i="16"/>
  <c r="L57" i="16"/>
  <c r="M57" i="16"/>
  <c r="L28" i="16"/>
  <c r="M28" i="16"/>
  <c r="L9" i="16"/>
  <c r="M9" i="16"/>
  <c r="L10" i="16"/>
  <c r="M10" i="16"/>
  <c r="L11" i="16"/>
  <c r="M11" i="16"/>
  <c r="L12" i="16"/>
  <c r="M12" i="16"/>
  <c r="L13" i="16"/>
  <c r="M13" i="16"/>
  <c r="L14" i="16"/>
  <c r="M14" i="16"/>
  <c r="M7" i="16"/>
  <c r="L7" i="16"/>
  <c r="M6" i="16"/>
  <c r="L6" i="16"/>
  <c r="M5" i="16"/>
  <c r="L5" i="16"/>
  <c r="M3" i="16"/>
  <c r="L3" i="16"/>
  <c r="M2" i="16"/>
  <c r="L2" i="16"/>
  <c r="K63" i="13" l="1"/>
  <c r="K60" i="13"/>
  <c r="K57" i="13"/>
  <c r="K55" i="13"/>
  <c r="T187" i="4"/>
  <c r="K49" i="13"/>
  <c r="K42" i="13"/>
  <c r="K43" i="13"/>
  <c r="K40" i="13"/>
  <c r="K37" i="13"/>
  <c r="W47" i="4" l="1"/>
  <c r="W193" i="4"/>
  <c r="K41" i="13"/>
  <c r="W53" i="4"/>
  <c r="W51" i="4"/>
  <c r="W188" i="4"/>
  <c r="W52" i="4"/>
  <c r="W54" i="4"/>
  <c r="W50" i="4"/>
  <c r="T23" i="4"/>
  <c r="T25" i="4"/>
  <c r="T24" i="4"/>
  <c r="T47" i="4"/>
  <c r="T193" i="4"/>
  <c r="T51" i="4"/>
  <c r="T53" i="4"/>
  <c r="T50" i="4"/>
  <c r="T52" i="4"/>
  <c r="T188" i="4"/>
  <c r="T54" i="4"/>
  <c r="K56" i="13"/>
  <c r="W187" i="4"/>
  <c r="K58" i="13"/>
  <c r="W23" i="4"/>
  <c r="W24" i="4"/>
  <c r="W25" i="4"/>
  <c r="K17" i="13"/>
  <c r="L78" i="9"/>
  <c r="L76" i="9"/>
  <c r="L77" i="9"/>
  <c r="L59" i="9"/>
  <c r="L53" i="9"/>
  <c r="L49" i="9"/>
  <c r="L40" i="9"/>
  <c r="L38" i="9"/>
  <c r="L31" i="9"/>
  <c r="L27" i="9"/>
  <c r="L26" i="9"/>
  <c r="L22" i="9"/>
  <c r="L20" i="9"/>
  <c r="L74" i="9" l="1"/>
  <c r="W28" i="4"/>
  <c r="W29" i="4"/>
  <c r="W17" i="4"/>
  <c r="W16" i="4"/>
  <c r="W15" i="4"/>
  <c r="T28" i="4"/>
  <c r="T29" i="4"/>
  <c r="T16" i="4"/>
  <c r="T15" i="4"/>
  <c r="T17" i="4"/>
  <c r="L50" i="9"/>
  <c r="L79" i="9"/>
  <c r="E24" i="6" l="1"/>
  <c r="D24" i="6"/>
  <c r="I29" i="21"/>
  <c r="P32" i="21"/>
  <c r="AK32" i="21" s="1"/>
  <c r="P31" i="21"/>
  <c r="AK31" i="21" s="1"/>
  <c r="D29" i="6"/>
  <c r="E29" i="6"/>
  <c r="F2" i="31"/>
  <c r="F3" i="31"/>
  <c r="F4" i="31"/>
  <c r="F5" i="31"/>
  <c r="F6" i="31"/>
  <c r="B4" i="31"/>
  <c r="B5" i="31"/>
  <c r="B6" i="31"/>
  <c r="C4" i="31"/>
  <c r="D4" i="31" s="1"/>
  <c r="C5" i="31"/>
  <c r="D5" i="31" s="1"/>
  <c r="C6" i="31"/>
  <c r="D6" i="31" s="1"/>
  <c r="B3" i="31"/>
  <c r="C3" i="31"/>
  <c r="D3" i="31" s="1"/>
  <c r="B2" i="31"/>
  <c r="C2" i="31"/>
  <c r="D2" i="31" s="1"/>
  <c r="AK12" i="21"/>
  <c r="M38" i="30"/>
  <c r="M45" i="30" s="1"/>
  <c r="M35" i="30"/>
  <c r="M19" i="30"/>
  <c r="M11" i="30"/>
  <c r="AK97" i="21"/>
  <c r="AK83" i="21"/>
  <c r="AK81" i="21"/>
  <c r="AK70" i="21"/>
  <c r="AK68" i="21"/>
  <c r="AK54" i="21"/>
  <c r="AK34" i="21"/>
  <c r="AK7" i="21"/>
  <c r="K7" i="29"/>
  <c r="J13" i="30" s="1"/>
  <c r="K8" i="29"/>
  <c r="J14" i="30" s="1"/>
  <c r="K9" i="29"/>
  <c r="J15" i="30" s="1"/>
  <c r="K10" i="29"/>
  <c r="J16" i="30" s="1"/>
  <c r="K11" i="29"/>
  <c r="J17" i="30" s="1"/>
  <c r="K12" i="29"/>
  <c r="J18" i="30" s="1"/>
  <c r="K13" i="29"/>
  <c r="J19" i="30" s="1"/>
  <c r="K14" i="29"/>
  <c r="J20" i="30" s="1"/>
  <c r="K15" i="29"/>
  <c r="J21" i="30" s="1"/>
  <c r="K16" i="29"/>
  <c r="J22" i="30" s="1"/>
  <c r="K17" i="29"/>
  <c r="J23" i="30" s="1"/>
  <c r="K18" i="29"/>
  <c r="J24" i="30" s="1"/>
  <c r="K19" i="29"/>
  <c r="J25" i="30" s="1"/>
  <c r="K20" i="29"/>
  <c r="J26" i="30" s="1"/>
  <c r="K21" i="29"/>
  <c r="J27" i="30" s="1"/>
  <c r="K22" i="29"/>
  <c r="J28" i="30" s="1"/>
  <c r="K23" i="29"/>
  <c r="J29" i="30" s="1"/>
  <c r="K24" i="29"/>
  <c r="J30" i="30" s="1"/>
  <c r="K25" i="29"/>
  <c r="J31" i="30" s="1"/>
  <c r="K26" i="29"/>
  <c r="J32" i="30" s="1"/>
  <c r="K27" i="29"/>
  <c r="J33" i="30" s="1"/>
  <c r="K28" i="29"/>
  <c r="J34" i="30" s="1"/>
  <c r="K29" i="29"/>
  <c r="J35" i="30" s="1"/>
  <c r="K30" i="29"/>
  <c r="J36" i="30" s="1"/>
  <c r="K31" i="29"/>
  <c r="J37" i="30" s="1"/>
  <c r="K32" i="29"/>
  <c r="J38" i="30" s="1"/>
  <c r="K33" i="29"/>
  <c r="J39" i="30" s="1"/>
  <c r="K34" i="29"/>
  <c r="J40" i="30" s="1"/>
  <c r="K35" i="29"/>
  <c r="J41" i="30" s="1"/>
  <c r="K36" i="29"/>
  <c r="J42" i="30" s="1"/>
  <c r="K37" i="29"/>
  <c r="J43" i="30" s="1"/>
  <c r="K38" i="29"/>
  <c r="J44" i="30" s="1"/>
  <c r="K39" i="29"/>
  <c r="J45" i="30" s="1"/>
  <c r="K40" i="29"/>
  <c r="J47" i="30" s="1"/>
  <c r="K41" i="29"/>
  <c r="J49" i="30" s="1"/>
  <c r="I14" i="21"/>
  <c r="K6" i="29"/>
  <c r="J12" i="30" s="1"/>
  <c r="K5" i="29"/>
  <c r="J11" i="30" s="1"/>
  <c r="K4" i="29"/>
  <c r="J10" i="30" s="1"/>
  <c r="K3" i="29"/>
  <c r="J9" i="30" s="1"/>
  <c r="M5" i="30"/>
  <c r="L5" i="30"/>
  <c r="G1" i="30" l="1"/>
  <c r="K6" i="30"/>
  <c r="K5" i="30"/>
  <c r="J5" i="30"/>
  <c r="G5" i="30"/>
  <c r="M3" i="30"/>
  <c r="M2" i="30"/>
  <c r="M1" i="30"/>
  <c r="K2" i="29"/>
  <c r="J8" i="30" s="1"/>
  <c r="P30" i="21" l="1"/>
  <c r="AK30" i="21" s="1"/>
  <c r="AJ79" i="21"/>
  <c r="AI79" i="21"/>
  <c r="AH79" i="21"/>
  <c r="AG79" i="21"/>
  <c r="AF79" i="21"/>
  <c r="AE79" i="21"/>
  <c r="AD79" i="21"/>
  <c r="AC79" i="21"/>
  <c r="AB79" i="21"/>
  <c r="AA79" i="21"/>
  <c r="Z79" i="21"/>
  <c r="Y79" i="21"/>
  <c r="X79" i="21"/>
  <c r="W79" i="21"/>
  <c r="V79" i="21"/>
  <c r="U79" i="21"/>
  <c r="T79" i="21"/>
  <c r="S79" i="21"/>
  <c r="R79" i="21"/>
  <c r="Q79" i="21"/>
  <c r="O79" i="21"/>
  <c r="N79" i="21"/>
  <c r="M79" i="21"/>
  <c r="L79" i="21"/>
  <c r="K79" i="21"/>
  <c r="J79" i="21"/>
  <c r="I79" i="21"/>
  <c r="AJ55" i="21"/>
  <c r="AI55" i="21"/>
  <c r="AH55" i="21"/>
  <c r="AG55" i="21"/>
  <c r="AF55" i="21"/>
  <c r="AE55" i="21"/>
  <c r="AD55" i="21"/>
  <c r="AC55" i="21"/>
  <c r="AB55" i="21"/>
  <c r="AA55" i="21"/>
  <c r="Z55" i="21"/>
  <c r="Y55" i="21"/>
  <c r="X55" i="21"/>
  <c r="W55" i="21"/>
  <c r="V55" i="21"/>
  <c r="U55" i="21"/>
  <c r="T55" i="21"/>
  <c r="S55" i="21"/>
  <c r="R55" i="21"/>
  <c r="Q55" i="21"/>
  <c r="O55" i="21"/>
  <c r="N55" i="21"/>
  <c r="M55" i="21"/>
  <c r="L55" i="21"/>
  <c r="K55" i="21"/>
  <c r="J55" i="21"/>
  <c r="I55" i="21"/>
  <c r="AJ57" i="21"/>
  <c r="AI57" i="21"/>
  <c r="AH57" i="21"/>
  <c r="AG57" i="21"/>
  <c r="AF57" i="21"/>
  <c r="AE57" i="21"/>
  <c r="AD57" i="21"/>
  <c r="AC57" i="21"/>
  <c r="AB57" i="21"/>
  <c r="AA57" i="21"/>
  <c r="Z57" i="21"/>
  <c r="Y57" i="21"/>
  <c r="X57" i="21"/>
  <c r="W57" i="21"/>
  <c r="V57" i="21"/>
  <c r="U57" i="21"/>
  <c r="T57" i="21"/>
  <c r="S57" i="21"/>
  <c r="R57" i="21"/>
  <c r="Q57" i="21"/>
  <c r="O57" i="21"/>
  <c r="N57" i="21"/>
  <c r="M57" i="21"/>
  <c r="L57" i="21"/>
  <c r="K57" i="21"/>
  <c r="J57" i="21"/>
  <c r="I57" i="21"/>
  <c r="AJ59" i="21"/>
  <c r="AI59" i="21"/>
  <c r="AH59" i="21"/>
  <c r="AG59" i="21"/>
  <c r="AF59" i="21"/>
  <c r="AE59" i="21"/>
  <c r="AD59" i="21"/>
  <c r="AC59" i="21"/>
  <c r="AB59" i="21"/>
  <c r="AA59" i="21"/>
  <c r="Z59" i="21"/>
  <c r="Y59" i="21"/>
  <c r="X59" i="21"/>
  <c r="W59" i="21"/>
  <c r="V59" i="21"/>
  <c r="U59" i="21"/>
  <c r="T59" i="21"/>
  <c r="S59" i="21"/>
  <c r="R59" i="21"/>
  <c r="Q59" i="21"/>
  <c r="O59" i="21"/>
  <c r="N59" i="21"/>
  <c r="M59" i="21"/>
  <c r="L59" i="21"/>
  <c r="K59" i="21"/>
  <c r="J59" i="21"/>
  <c r="I59" i="21"/>
  <c r="AJ62" i="21"/>
  <c r="AI62" i="21"/>
  <c r="AH62" i="21"/>
  <c r="AG62" i="21"/>
  <c r="AF62" i="21"/>
  <c r="AE62" i="21"/>
  <c r="AD62" i="21"/>
  <c r="AC62" i="21"/>
  <c r="AB62" i="21"/>
  <c r="AA62" i="21"/>
  <c r="Z62" i="21"/>
  <c r="Y62" i="21"/>
  <c r="X62" i="21"/>
  <c r="W62" i="21"/>
  <c r="V62" i="21"/>
  <c r="U62" i="21"/>
  <c r="T62" i="21"/>
  <c r="S62" i="21"/>
  <c r="R62" i="21"/>
  <c r="Q62" i="21"/>
  <c r="O62" i="21"/>
  <c r="N62" i="21"/>
  <c r="M62" i="21"/>
  <c r="L62" i="21"/>
  <c r="K62" i="21"/>
  <c r="J62" i="21"/>
  <c r="I62" i="21"/>
  <c r="AJ43" i="21"/>
  <c r="AI43" i="21"/>
  <c r="AH43" i="21"/>
  <c r="AG43" i="21"/>
  <c r="AF43" i="21"/>
  <c r="AE43" i="21"/>
  <c r="AD43" i="21"/>
  <c r="AC43" i="21"/>
  <c r="AB43" i="21"/>
  <c r="AA43" i="21"/>
  <c r="Z43" i="21"/>
  <c r="Y43" i="21"/>
  <c r="X43" i="21"/>
  <c r="W43" i="21"/>
  <c r="V43" i="21"/>
  <c r="U43" i="21"/>
  <c r="T43" i="21"/>
  <c r="S43" i="21"/>
  <c r="R43" i="21"/>
  <c r="Q43" i="21"/>
  <c r="O43" i="21"/>
  <c r="N43" i="21"/>
  <c r="M43" i="21"/>
  <c r="L43" i="21"/>
  <c r="K43" i="21"/>
  <c r="J43" i="21"/>
  <c r="I43" i="21"/>
  <c r="O4" i="21"/>
  <c r="N4" i="21"/>
  <c r="M4" i="21"/>
  <c r="L4" i="21"/>
  <c r="K4" i="21"/>
  <c r="J4" i="21"/>
  <c r="I4" i="21"/>
  <c r="AJ29" i="21"/>
  <c r="AI29" i="21"/>
  <c r="AH29" i="21"/>
  <c r="AG29" i="21"/>
  <c r="AF29" i="21"/>
  <c r="AE29" i="21"/>
  <c r="AD29" i="21"/>
  <c r="AC29" i="21"/>
  <c r="AB29" i="21"/>
  <c r="AA29" i="21"/>
  <c r="Z29" i="21"/>
  <c r="Y29" i="21"/>
  <c r="X29" i="21"/>
  <c r="W29" i="21"/>
  <c r="V29" i="21"/>
  <c r="U29" i="21"/>
  <c r="T29" i="21"/>
  <c r="S29" i="21"/>
  <c r="R29" i="21"/>
  <c r="Q29" i="21"/>
  <c r="O29" i="21"/>
  <c r="N29" i="21"/>
  <c r="M29" i="21"/>
  <c r="L29" i="21"/>
  <c r="K29" i="21"/>
  <c r="J29" i="21"/>
  <c r="H29" i="21"/>
  <c r="AJ26" i="21"/>
  <c r="AI26" i="21"/>
  <c r="AH26" i="21"/>
  <c r="AG26" i="21"/>
  <c r="AF26" i="21"/>
  <c r="AE26" i="21"/>
  <c r="AD26" i="21"/>
  <c r="AC26" i="21"/>
  <c r="AB26" i="21"/>
  <c r="AA26" i="21"/>
  <c r="Z26" i="21"/>
  <c r="Y26" i="21"/>
  <c r="X26" i="21"/>
  <c r="W26" i="21"/>
  <c r="V26" i="21"/>
  <c r="U26" i="21"/>
  <c r="T26" i="21"/>
  <c r="S26" i="21"/>
  <c r="R26" i="21"/>
  <c r="Q26" i="21"/>
  <c r="O26" i="21"/>
  <c r="N26" i="21"/>
  <c r="M26" i="21"/>
  <c r="L26" i="21"/>
  <c r="K26" i="21"/>
  <c r="J26" i="21"/>
  <c r="I26" i="21"/>
  <c r="AJ23" i="21"/>
  <c r="AI23" i="21"/>
  <c r="AH23" i="21"/>
  <c r="AG23" i="21"/>
  <c r="AF23" i="21"/>
  <c r="AE23" i="21"/>
  <c r="AD23" i="21"/>
  <c r="AC23" i="21"/>
  <c r="AB23" i="21"/>
  <c r="AA23" i="21"/>
  <c r="Z23" i="21"/>
  <c r="Y23" i="21"/>
  <c r="X23" i="21"/>
  <c r="W23" i="21"/>
  <c r="V23" i="21"/>
  <c r="U23" i="21"/>
  <c r="T23" i="21"/>
  <c r="S23" i="21"/>
  <c r="R23" i="21"/>
  <c r="Q23" i="21"/>
  <c r="O23" i="21"/>
  <c r="N23" i="21"/>
  <c r="M23" i="21"/>
  <c r="L23" i="21"/>
  <c r="K23" i="21"/>
  <c r="J23" i="21"/>
  <c r="I23" i="21"/>
  <c r="AJ14" i="21"/>
  <c r="AI14" i="21"/>
  <c r="AH14" i="21"/>
  <c r="AG14" i="21"/>
  <c r="AF14" i="21"/>
  <c r="AE14" i="21"/>
  <c r="AD14" i="21"/>
  <c r="AC14" i="21"/>
  <c r="AB14" i="21"/>
  <c r="AA14" i="21"/>
  <c r="Z14" i="21"/>
  <c r="Y14" i="21"/>
  <c r="X14" i="21"/>
  <c r="W14" i="21"/>
  <c r="V14" i="21"/>
  <c r="U14" i="21"/>
  <c r="T14" i="21"/>
  <c r="S14" i="21"/>
  <c r="R14" i="21"/>
  <c r="Q14" i="21"/>
  <c r="O14" i="21"/>
  <c r="N14" i="21"/>
  <c r="M14" i="21"/>
  <c r="L14" i="21"/>
  <c r="K14" i="21"/>
  <c r="J14" i="21"/>
  <c r="C1" i="21"/>
  <c r="AJ85" i="21"/>
  <c r="AI85" i="21"/>
  <c r="AH85" i="21"/>
  <c r="AG85" i="21"/>
  <c r="AF85" i="21"/>
  <c r="AE85" i="21"/>
  <c r="AD85" i="21"/>
  <c r="AC85" i="21"/>
  <c r="AB85" i="21"/>
  <c r="AA85" i="21"/>
  <c r="Z85" i="21"/>
  <c r="Y85" i="21"/>
  <c r="X85" i="21"/>
  <c r="W85" i="21"/>
  <c r="V85" i="21"/>
  <c r="U85" i="21"/>
  <c r="T85" i="21"/>
  <c r="S85" i="21"/>
  <c r="R85" i="21"/>
  <c r="Q85" i="21"/>
  <c r="O85" i="21"/>
  <c r="N85" i="21"/>
  <c r="M85" i="21"/>
  <c r="L85" i="21"/>
  <c r="K85" i="21"/>
  <c r="J85" i="21"/>
  <c r="I85" i="21"/>
  <c r="H72" i="21"/>
  <c r="AJ65" i="21"/>
  <c r="AI65" i="21"/>
  <c r="AH65" i="21"/>
  <c r="AG65" i="21"/>
  <c r="AF65" i="21"/>
  <c r="AE65" i="21"/>
  <c r="AD65" i="21"/>
  <c r="AC65" i="21"/>
  <c r="AB65" i="21"/>
  <c r="AA65" i="21"/>
  <c r="Z65" i="21"/>
  <c r="Y65" i="21"/>
  <c r="X65" i="21"/>
  <c r="W65" i="21"/>
  <c r="V65" i="21"/>
  <c r="U65" i="21"/>
  <c r="T65" i="21"/>
  <c r="S65" i="21"/>
  <c r="R65" i="21"/>
  <c r="Q65" i="21"/>
  <c r="O65" i="21"/>
  <c r="N65" i="21"/>
  <c r="M65" i="21"/>
  <c r="L65" i="21"/>
  <c r="K65" i="21"/>
  <c r="J65" i="21"/>
  <c r="I65" i="21"/>
  <c r="AJ50" i="21"/>
  <c r="AI50" i="21"/>
  <c r="AH50" i="21"/>
  <c r="AG50" i="21"/>
  <c r="AF50" i="21"/>
  <c r="AE50" i="21"/>
  <c r="AD50" i="21"/>
  <c r="AC50" i="21"/>
  <c r="AB50" i="21"/>
  <c r="AA50" i="21"/>
  <c r="Z50" i="21"/>
  <c r="Y50" i="21"/>
  <c r="X50" i="21"/>
  <c r="W50" i="21"/>
  <c r="V50" i="21"/>
  <c r="U50" i="21"/>
  <c r="T50" i="21"/>
  <c r="S50" i="21"/>
  <c r="R50" i="21"/>
  <c r="Q50" i="21"/>
  <c r="AJ40" i="21"/>
  <c r="AI40" i="21"/>
  <c r="AH40" i="21"/>
  <c r="AG40" i="21"/>
  <c r="AF40" i="21"/>
  <c r="AE40" i="21"/>
  <c r="AD40" i="21"/>
  <c r="AC40" i="21"/>
  <c r="AB40" i="21"/>
  <c r="AA40" i="21"/>
  <c r="Z40" i="21"/>
  <c r="Y40" i="21"/>
  <c r="X40" i="21"/>
  <c r="W40" i="21"/>
  <c r="V40" i="21"/>
  <c r="U40" i="21"/>
  <c r="T40" i="21"/>
  <c r="S40" i="21"/>
  <c r="R40" i="21"/>
  <c r="Q40" i="21"/>
  <c r="AJ36" i="21"/>
  <c r="AI36" i="21"/>
  <c r="AH36" i="21"/>
  <c r="AG36" i="21"/>
  <c r="AF36" i="21"/>
  <c r="AE36" i="21"/>
  <c r="AD36" i="21"/>
  <c r="AC36" i="21"/>
  <c r="AB36" i="21"/>
  <c r="AA36" i="21"/>
  <c r="Z36" i="21"/>
  <c r="Y36" i="21"/>
  <c r="X36" i="21"/>
  <c r="W36" i="21"/>
  <c r="V36" i="21"/>
  <c r="U36" i="21"/>
  <c r="T36" i="21"/>
  <c r="S36" i="21"/>
  <c r="R36" i="21"/>
  <c r="Q36" i="21"/>
  <c r="O50" i="21"/>
  <c r="O40" i="21"/>
  <c r="O36" i="21"/>
  <c r="N50" i="21"/>
  <c r="N40" i="21"/>
  <c r="N36" i="21"/>
  <c r="M50" i="21"/>
  <c r="M40" i="21"/>
  <c r="M36" i="21"/>
  <c r="L50" i="21"/>
  <c r="L40" i="21"/>
  <c r="L36" i="21"/>
  <c r="K50" i="21"/>
  <c r="K40" i="21"/>
  <c r="K36" i="21"/>
  <c r="J50" i="21"/>
  <c r="J40" i="21"/>
  <c r="J36" i="21"/>
  <c r="I36" i="21"/>
  <c r="I40" i="21"/>
  <c r="I50" i="21"/>
  <c r="P29" i="21" l="1"/>
  <c r="T35" i="21"/>
  <c r="AB35" i="21"/>
  <c r="AF35" i="21"/>
  <c r="AJ35" i="21"/>
  <c r="AE35" i="21"/>
  <c r="S35" i="21"/>
  <c r="W35" i="21"/>
  <c r="AA35" i="21"/>
  <c r="AI35" i="21"/>
  <c r="AD35" i="21"/>
  <c r="Q35" i="21"/>
  <c r="U35" i="21"/>
  <c r="Y35" i="21"/>
  <c r="AC35" i="21"/>
  <c r="AG35" i="21"/>
  <c r="X35" i="21"/>
  <c r="R35" i="21"/>
  <c r="V35" i="21"/>
  <c r="Z35" i="21"/>
  <c r="AH35" i="21"/>
  <c r="AK29" i="21" l="1"/>
  <c r="L17" i="30" s="1"/>
  <c r="AJ20" i="21"/>
  <c r="AI20" i="21"/>
  <c r="AH20" i="21"/>
  <c r="AG20" i="21"/>
  <c r="AF20" i="21"/>
  <c r="AE20" i="21"/>
  <c r="AD20" i="21"/>
  <c r="AC20" i="21"/>
  <c r="AB20" i="21"/>
  <c r="AA20" i="21"/>
  <c r="Z20" i="21"/>
  <c r="Y20" i="21"/>
  <c r="X20" i="21"/>
  <c r="W20" i="21"/>
  <c r="V20" i="21"/>
  <c r="U20" i="21"/>
  <c r="T20" i="21"/>
  <c r="S20" i="21"/>
  <c r="R20" i="21"/>
  <c r="Q20" i="21"/>
  <c r="I20" i="21"/>
  <c r="J20" i="21"/>
  <c r="K20" i="21"/>
  <c r="L20" i="21"/>
  <c r="M20" i="21"/>
  <c r="N20" i="21"/>
  <c r="O20" i="21"/>
  <c r="AJ18" i="21"/>
  <c r="AI18" i="21"/>
  <c r="AH18" i="21"/>
  <c r="AG18" i="21"/>
  <c r="AF18" i="21"/>
  <c r="AE18" i="21"/>
  <c r="AD18" i="21"/>
  <c r="AC18" i="21"/>
  <c r="AB18" i="21"/>
  <c r="AA18" i="21"/>
  <c r="Z18" i="21"/>
  <c r="Y18" i="21"/>
  <c r="X18" i="21"/>
  <c r="X33" i="21" s="1"/>
  <c r="W18" i="21"/>
  <c r="W33" i="21" s="1"/>
  <c r="V18" i="21"/>
  <c r="V33" i="21" s="1"/>
  <c r="U18" i="21"/>
  <c r="T18" i="21"/>
  <c r="T33" i="21" s="1"/>
  <c r="S18" i="21"/>
  <c r="S33" i="21" s="1"/>
  <c r="R18" i="21"/>
  <c r="R33" i="21" s="1"/>
  <c r="Q18" i="21"/>
  <c r="O18" i="21"/>
  <c r="N18" i="21"/>
  <c r="M18" i="21"/>
  <c r="L18" i="21"/>
  <c r="K18" i="21"/>
  <c r="J18" i="21"/>
  <c r="I18" i="21"/>
  <c r="Q33" i="21" l="1"/>
  <c r="U33" i="21"/>
  <c r="R53" i="21"/>
  <c r="V53" i="21"/>
  <c r="Z33" i="21"/>
  <c r="Z53" i="21" s="1"/>
  <c r="AD33" i="21"/>
  <c r="AD53" i="21" s="1"/>
  <c r="AH33" i="21"/>
  <c r="AH53" i="21" s="1"/>
  <c r="L33" i="21"/>
  <c r="L53" i="21" s="1"/>
  <c r="I33" i="21"/>
  <c r="I53" i="21" s="1"/>
  <c r="M33" i="21"/>
  <c r="M53" i="21" s="1"/>
  <c r="S53" i="21"/>
  <c r="W53" i="21"/>
  <c r="AA33" i="21"/>
  <c r="AA53" i="21" s="1"/>
  <c r="AE33" i="21"/>
  <c r="AE53" i="21" s="1"/>
  <c r="AI33" i="21"/>
  <c r="AI53" i="21" s="1"/>
  <c r="Q53" i="21"/>
  <c r="U53" i="21"/>
  <c r="Y33" i="21"/>
  <c r="Y53" i="21" s="1"/>
  <c r="AC33" i="21"/>
  <c r="AC53" i="21" s="1"/>
  <c r="AG33" i="21"/>
  <c r="AG53" i="21" s="1"/>
  <c r="T53" i="21"/>
  <c r="X53" i="21"/>
  <c r="AB33" i="21"/>
  <c r="AB53" i="21" s="1"/>
  <c r="AF33" i="21"/>
  <c r="AF53" i="21" s="1"/>
  <c r="AJ33" i="21"/>
  <c r="AJ53" i="21" s="1"/>
  <c r="J33" i="21"/>
  <c r="J53" i="21" s="1"/>
  <c r="N33" i="21"/>
  <c r="N53" i="21" s="1"/>
  <c r="K33" i="21"/>
  <c r="K53" i="21" s="1"/>
  <c r="O33" i="21"/>
  <c r="O53" i="21" s="1"/>
  <c r="P95" i="21" l="1"/>
  <c r="AK95" i="21" s="1"/>
  <c r="L43" i="30" s="1"/>
  <c r="P94" i="21"/>
  <c r="AK94" i="21" s="1"/>
  <c r="L42" i="30" s="1"/>
  <c r="P93" i="21"/>
  <c r="AK93" i="21" s="1"/>
  <c r="L41" i="30" s="1"/>
  <c r="P92" i="21"/>
  <c r="AK92" i="21" s="1"/>
  <c r="L40" i="30" s="1"/>
  <c r="P84" i="21"/>
  <c r="AK84" i="21" s="1"/>
  <c r="L36" i="30" s="1"/>
  <c r="P75" i="21"/>
  <c r="I117" i="21" s="1"/>
  <c r="P74" i="21"/>
  <c r="I116" i="21" s="1"/>
  <c r="P73" i="21"/>
  <c r="I115" i="21" s="1"/>
  <c r="P71" i="21"/>
  <c r="AK71" i="21" s="1"/>
  <c r="L31" i="30" s="1"/>
  <c r="I88" i="21"/>
  <c r="I98" i="21" s="1"/>
  <c r="J88" i="21"/>
  <c r="J98" i="21" s="1"/>
  <c r="K88" i="21"/>
  <c r="K98" i="21" s="1"/>
  <c r="L88" i="21"/>
  <c r="L98" i="21" s="1"/>
  <c r="M88" i="21"/>
  <c r="M98" i="21" s="1"/>
  <c r="N88" i="21"/>
  <c r="N98" i="21" s="1"/>
  <c r="O88" i="21"/>
  <c r="O98" i="21" s="1"/>
  <c r="Q88" i="21"/>
  <c r="Q98" i="21" s="1"/>
  <c r="R88" i="21"/>
  <c r="R98" i="21" s="1"/>
  <c r="S88" i="21"/>
  <c r="S98" i="21" s="1"/>
  <c r="T88" i="21"/>
  <c r="T98" i="21" s="1"/>
  <c r="U88" i="21"/>
  <c r="U98" i="21" s="1"/>
  <c r="V88" i="21"/>
  <c r="V98" i="21" s="1"/>
  <c r="W88" i="21"/>
  <c r="W98" i="21" s="1"/>
  <c r="X88" i="21"/>
  <c r="X98" i="21" s="1"/>
  <c r="Y88" i="21"/>
  <c r="Y98" i="21" s="1"/>
  <c r="Z88" i="21"/>
  <c r="Z98" i="21" s="1"/>
  <c r="AA88" i="21"/>
  <c r="AA98" i="21" s="1"/>
  <c r="AB88" i="21"/>
  <c r="AB98" i="21" s="1"/>
  <c r="AC88" i="21"/>
  <c r="AC98" i="21" s="1"/>
  <c r="AD88" i="21"/>
  <c r="AD98" i="21" s="1"/>
  <c r="AE88" i="21"/>
  <c r="AE98" i="21" s="1"/>
  <c r="AF88" i="21"/>
  <c r="AF98" i="21" s="1"/>
  <c r="AG88" i="21"/>
  <c r="AG98" i="21" s="1"/>
  <c r="AH88" i="21"/>
  <c r="AH98" i="21" s="1"/>
  <c r="AI88" i="21"/>
  <c r="AI98" i="21" s="1"/>
  <c r="AJ88" i="21"/>
  <c r="AJ98" i="21" s="1"/>
  <c r="AJ76" i="21"/>
  <c r="AI76" i="21"/>
  <c r="AH76" i="21"/>
  <c r="AG76" i="21"/>
  <c r="AF76" i="21"/>
  <c r="AE76" i="21"/>
  <c r="AD76" i="21"/>
  <c r="AC76" i="21"/>
  <c r="AB76" i="21"/>
  <c r="AA76" i="21"/>
  <c r="Z76" i="21"/>
  <c r="Y76" i="21"/>
  <c r="X76" i="21"/>
  <c r="W76" i="21"/>
  <c r="V76" i="21"/>
  <c r="U76" i="21"/>
  <c r="T76" i="21"/>
  <c r="S76" i="21"/>
  <c r="R76" i="21"/>
  <c r="Q76" i="21"/>
  <c r="O76" i="21"/>
  <c r="N76" i="21"/>
  <c r="M76" i="21"/>
  <c r="L76" i="21"/>
  <c r="K76" i="21"/>
  <c r="J76" i="21"/>
  <c r="I76" i="21"/>
  <c r="AJ72" i="21"/>
  <c r="AI72" i="21"/>
  <c r="AH72" i="21"/>
  <c r="AG72" i="21"/>
  <c r="AF72" i="21"/>
  <c r="AE72" i="21"/>
  <c r="AD72" i="21"/>
  <c r="AC72" i="21"/>
  <c r="AB72" i="21"/>
  <c r="AA72" i="21"/>
  <c r="Z72" i="21"/>
  <c r="Y72" i="21"/>
  <c r="X72" i="21"/>
  <c r="W72" i="21"/>
  <c r="V72" i="21"/>
  <c r="U72" i="21"/>
  <c r="T72" i="21"/>
  <c r="S72" i="21"/>
  <c r="R72" i="21"/>
  <c r="Q72" i="21"/>
  <c r="O72" i="21"/>
  <c r="N72" i="21"/>
  <c r="M72" i="21"/>
  <c r="L72" i="21"/>
  <c r="K72" i="21"/>
  <c r="J72" i="21"/>
  <c r="I72" i="21"/>
  <c r="AJ13" i="21"/>
  <c r="AI13" i="21"/>
  <c r="AH13" i="21"/>
  <c r="AG13" i="21"/>
  <c r="AF13" i="21"/>
  <c r="AE13" i="21"/>
  <c r="AD13" i="21"/>
  <c r="AC13" i="21"/>
  <c r="AB13" i="21"/>
  <c r="AA13" i="21"/>
  <c r="Z13" i="21"/>
  <c r="Y13" i="21"/>
  <c r="X13" i="21"/>
  <c r="W13" i="21"/>
  <c r="V13" i="21"/>
  <c r="U13" i="21"/>
  <c r="T13" i="21"/>
  <c r="S13" i="21"/>
  <c r="R13" i="21"/>
  <c r="Q13" i="21"/>
  <c r="O13" i="21"/>
  <c r="N13" i="21"/>
  <c r="M13" i="21"/>
  <c r="L13" i="21"/>
  <c r="K13" i="21"/>
  <c r="J13" i="21"/>
  <c r="I13" i="21"/>
  <c r="P8" i="21"/>
  <c r="AK8" i="21" s="1"/>
  <c r="L9" i="30" s="1"/>
  <c r="AK73" i="21" l="1"/>
  <c r="AK74" i="21"/>
  <c r="AK75" i="21"/>
  <c r="L82" i="21"/>
  <c r="Y82" i="21"/>
  <c r="Q82" i="21"/>
  <c r="U82" i="21"/>
  <c r="AC82" i="21"/>
  <c r="AG82" i="21"/>
  <c r="T82" i="21"/>
  <c r="X82" i="21"/>
  <c r="AB82" i="21"/>
  <c r="AF82" i="21"/>
  <c r="AJ82" i="21"/>
  <c r="I82" i="21"/>
  <c r="M82" i="21"/>
  <c r="V82" i="21"/>
  <c r="AD82" i="21"/>
  <c r="S82" i="21"/>
  <c r="W82" i="21"/>
  <c r="AA82" i="21"/>
  <c r="AE82" i="21"/>
  <c r="AI82" i="21"/>
  <c r="R82" i="21"/>
  <c r="Z82" i="21"/>
  <c r="AH82" i="21"/>
  <c r="J82" i="21"/>
  <c r="N82" i="21"/>
  <c r="K82" i="21"/>
  <c r="O82" i="21"/>
  <c r="P72" i="21"/>
  <c r="AK72" i="21" s="1"/>
  <c r="L32" i="30" s="1"/>
  <c r="R192" i="1" l="1"/>
  <c r="R204" i="1"/>
  <c r="K204" i="1"/>
  <c r="K44" i="13" l="1"/>
  <c r="K46" i="13"/>
  <c r="K47" i="13"/>
  <c r="K50" i="13"/>
  <c r="K39" i="13"/>
  <c r="K45" i="13"/>
  <c r="K51" i="13"/>
  <c r="K52" i="13"/>
  <c r="K48" i="13"/>
  <c r="K29" i="13"/>
  <c r="K30" i="13"/>
  <c r="K31" i="13"/>
  <c r="K32" i="13"/>
  <c r="T190" i="4"/>
  <c r="K34" i="13"/>
  <c r="K36" i="13"/>
  <c r="K38" i="13"/>
  <c r="K35" i="13" l="1"/>
  <c r="W174" i="4"/>
  <c r="W49" i="4"/>
  <c r="K33" i="13"/>
  <c r="W190" i="4"/>
  <c r="T49" i="4"/>
  <c r="T174" i="4"/>
  <c r="G1" i="15"/>
  <c r="B83" i="20" l="1"/>
  <c r="B60" i="20"/>
  <c r="B48" i="20"/>
  <c r="B28" i="20"/>
  <c r="B13" i="20"/>
  <c r="J3" i="4" l="1"/>
  <c r="N3" i="15" l="1"/>
  <c r="N2" i="15"/>
  <c r="G2" i="15"/>
  <c r="N1" i="15"/>
  <c r="N3" i="13"/>
  <c r="N2" i="13"/>
  <c r="N1" i="13"/>
  <c r="G2" i="13"/>
  <c r="G1" i="13"/>
  <c r="J2" i="4" l="1"/>
  <c r="T42" i="4" l="1"/>
  <c r="T166" i="4"/>
  <c r="T46" i="4"/>
  <c r="T43" i="4"/>
  <c r="T44" i="4"/>
  <c r="T40" i="4"/>
  <c r="T22" i="4"/>
  <c r="T10" i="4"/>
  <c r="T8" i="4"/>
  <c r="T9" i="4"/>
  <c r="L8" i="16"/>
  <c r="L4" i="16"/>
  <c r="T7" i="4" l="1"/>
  <c r="T11" i="4"/>
  <c r="T6" i="4"/>
  <c r="T13" i="4"/>
  <c r="T5" i="4"/>
  <c r="T4" i="4"/>
  <c r="T14" i="4"/>
  <c r="T12" i="4"/>
  <c r="T19" i="4"/>
  <c r="T18" i="4"/>
  <c r="T45" i="4"/>
  <c r="T172" i="4"/>
  <c r="T27" i="4"/>
  <c r="T26" i="4"/>
  <c r="T183" i="4"/>
  <c r="T169" i="4"/>
  <c r="T173" i="4"/>
  <c r="T20" i="4"/>
  <c r="T21" i="4"/>
  <c r="T168" i="4"/>
  <c r="T171" i="4"/>
  <c r="T41" i="4"/>
  <c r="T170" i="4"/>
  <c r="T48" i="4"/>
  <c r="T194" i="4"/>
  <c r="K77" i="1"/>
  <c r="K78" i="1"/>
  <c r="K79" i="1"/>
  <c r="K80" i="1"/>
  <c r="K81" i="1"/>
  <c r="K82" i="1"/>
  <c r="K83" i="1"/>
  <c r="K84" i="1"/>
  <c r="K86" i="1"/>
  <c r="K87" i="1"/>
  <c r="K88" i="1"/>
  <c r="K89" i="1"/>
  <c r="K90" i="1"/>
  <c r="K92" i="1"/>
  <c r="K94" i="1"/>
  <c r="K96" i="1"/>
  <c r="K98" i="1"/>
  <c r="K99" i="1"/>
  <c r="K101" i="1"/>
  <c r="K103" i="1"/>
  <c r="K105" i="1"/>
  <c r="K106" i="1"/>
  <c r="K107" i="1"/>
  <c r="K108" i="1"/>
  <c r="K109" i="1"/>
  <c r="K110" i="1"/>
  <c r="K111" i="1"/>
  <c r="K113" i="1"/>
  <c r="K114" i="1"/>
  <c r="K115" i="1"/>
  <c r="K116" i="1"/>
  <c r="K117" i="1"/>
  <c r="K118" i="1"/>
  <c r="K119" i="1"/>
  <c r="K121" i="1"/>
  <c r="K122" i="1"/>
  <c r="K124" i="1"/>
  <c r="K126" i="1"/>
  <c r="K127" i="1"/>
  <c r="K129" i="1"/>
  <c r="K131" i="1"/>
  <c r="K133" i="1"/>
  <c r="K134" i="1"/>
  <c r="K135" i="1"/>
  <c r="K137" i="1"/>
  <c r="K139" i="1"/>
  <c r="K141" i="1"/>
  <c r="K143" i="1"/>
  <c r="K145" i="1"/>
  <c r="K147" i="1"/>
  <c r="K149" i="1"/>
  <c r="K151" i="1"/>
  <c r="K153" i="1"/>
  <c r="K155" i="1"/>
  <c r="K157" i="1"/>
  <c r="K159" i="1"/>
  <c r="K161" i="1"/>
  <c r="K163" i="1"/>
  <c r="K164" i="1"/>
  <c r="K165" i="1"/>
  <c r="K166" i="1"/>
  <c r="K167" i="1"/>
  <c r="K168" i="1"/>
  <c r="K170" i="1"/>
  <c r="K172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5" i="1"/>
  <c r="K206" i="1"/>
  <c r="K207" i="1"/>
  <c r="K208" i="1"/>
  <c r="K209" i="1"/>
  <c r="K211" i="1"/>
  <c r="K213" i="1"/>
  <c r="K215" i="1"/>
  <c r="K217" i="1"/>
  <c r="K221" i="1"/>
  <c r="K223" i="1"/>
  <c r="K225" i="1"/>
  <c r="K227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2" i="1"/>
  <c r="K263" i="1"/>
  <c r="K264" i="1"/>
  <c r="K265" i="1"/>
  <c r="K266" i="1"/>
  <c r="K267" i="1"/>
  <c r="K268" i="1"/>
  <c r="K269" i="1"/>
  <c r="K270" i="1"/>
  <c r="K273" i="1"/>
  <c r="K276" i="1"/>
  <c r="K278" i="1"/>
  <c r="K280" i="1"/>
  <c r="K281" i="1"/>
  <c r="K283" i="1"/>
  <c r="K284" i="1"/>
  <c r="K285" i="1"/>
  <c r="K286" i="1"/>
  <c r="K287" i="1"/>
  <c r="K288" i="1"/>
  <c r="K289" i="1"/>
  <c r="K290" i="1"/>
  <c r="K292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4" i="1"/>
  <c r="K329" i="1"/>
  <c r="K331" i="1"/>
  <c r="K332" i="1"/>
  <c r="K333" i="1"/>
  <c r="K339" i="1"/>
  <c r="K340" i="1"/>
  <c r="K341" i="1"/>
  <c r="K342" i="1"/>
  <c r="K343" i="1"/>
  <c r="K344" i="1"/>
  <c r="K345" i="1"/>
  <c r="K346" i="1"/>
  <c r="K347" i="1"/>
  <c r="K348" i="1"/>
  <c r="K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8" i="1"/>
  <c r="K30" i="1"/>
  <c r="K31" i="1"/>
  <c r="K32" i="1"/>
  <c r="K33" i="1"/>
  <c r="K34" i="1"/>
  <c r="K35" i="1"/>
  <c r="K36" i="1"/>
  <c r="K37" i="1"/>
  <c r="K38" i="1"/>
  <c r="K39" i="1"/>
  <c r="K40" i="1"/>
  <c r="K41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2" i="1"/>
  <c r="Q3" i="9" l="1"/>
  <c r="G2" i="9"/>
  <c r="G1" i="9" l="1"/>
  <c r="L5" i="9"/>
  <c r="J18" i="6"/>
  <c r="J17" i="6"/>
  <c r="F15" i="6"/>
  <c r="Y196" i="4" l="1"/>
  <c r="Y200" i="4"/>
  <c r="Y197" i="4"/>
  <c r="Y168" i="4"/>
  <c r="Y172" i="4"/>
  <c r="Y176" i="4"/>
  <c r="Y180" i="4"/>
  <c r="Y184" i="4"/>
  <c r="Y188" i="4"/>
  <c r="Y192" i="4"/>
  <c r="Y152" i="4"/>
  <c r="Y156" i="4"/>
  <c r="Y160" i="4"/>
  <c r="Y164" i="4"/>
  <c r="Y6" i="4"/>
  <c r="Y10" i="4"/>
  <c r="Y14" i="4"/>
  <c r="Y18" i="4"/>
  <c r="Y22" i="4"/>
  <c r="Y26" i="4"/>
  <c r="Y30" i="4"/>
  <c r="Y34" i="4"/>
  <c r="Y38" i="4"/>
  <c r="Y42" i="4"/>
  <c r="Y46" i="4"/>
  <c r="Y50" i="4"/>
  <c r="Y54" i="4"/>
  <c r="Y58" i="4"/>
  <c r="Y62" i="4"/>
  <c r="Y66" i="4"/>
  <c r="Y70" i="4"/>
  <c r="Y74" i="4"/>
  <c r="Y78" i="4"/>
  <c r="Y82" i="4"/>
  <c r="Y86" i="4"/>
  <c r="Y90" i="4"/>
  <c r="Y94" i="4"/>
  <c r="Y98" i="4"/>
  <c r="Y102" i="4"/>
  <c r="Y106" i="4"/>
  <c r="Y110" i="4"/>
  <c r="Y114" i="4"/>
  <c r="Y118" i="4"/>
  <c r="Y122" i="4"/>
  <c r="Y126" i="4"/>
  <c r="Y130" i="4"/>
  <c r="Y134" i="4"/>
  <c r="Y138" i="4"/>
  <c r="Y142" i="4"/>
  <c r="Y146" i="4"/>
  <c r="Y150" i="4"/>
  <c r="Y8" i="4"/>
  <c r="Y12" i="4"/>
  <c r="Y20" i="4"/>
  <c r="Y28" i="4"/>
  <c r="Y40" i="4"/>
  <c r="Y48" i="4"/>
  <c r="Y56" i="4"/>
  <c r="Y64" i="4"/>
  <c r="Y72" i="4"/>
  <c r="Y80" i="4"/>
  <c r="Y88" i="4"/>
  <c r="Y100" i="4"/>
  <c r="Y108" i="4"/>
  <c r="Y116" i="4"/>
  <c r="Y124" i="4"/>
  <c r="Y132" i="4"/>
  <c r="Y144" i="4"/>
  <c r="Y171" i="4"/>
  <c r="Y179" i="4"/>
  <c r="Y187" i="4"/>
  <c r="Y151" i="4"/>
  <c r="Y155" i="4"/>
  <c r="Y159" i="4"/>
  <c r="Y198" i="4"/>
  <c r="Y169" i="4"/>
  <c r="Y173" i="4"/>
  <c r="Y177" i="4"/>
  <c r="Y181" i="4"/>
  <c r="Y185" i="4"/>
  <c r="Y189" i="4"/>
  <c r="Y193" i="4"/>
  <c r="Y153" i="4"/>
  <c r="Y157" i="4"/>
  <c r="Y161" i="4"/>
  <c r="Y165" i="4"/>
  <c r="Y7" i="4"/>
  <c r="Y11" i="4"/>
  <c r="Y15" i="4"/>
  <c r="Y19" i="4"/>
  <c r="Y23" i="4"/>
  <c r="Y27" i="4"/>
  <c r="Y31" i="4"/>
  <c r="Y35" i="4"/>
  <c r="Y39" i="4"/>
  <c r="Y43" i="4"/>
  <c r="Y47" i="4"/>
  <c r="Y51" i="4"/>
  <c r="Y55" i="4"/>
  <c r="Y59" i="4"/>
  <c r="Y63" i="4"/>
  <c r="Y67" i="4"/>
  <c r="Y71" i="4"/>
  <c r="Y75" i="4"/>
  <c r="Y79" i="4"/>
  <c r="Y83" i="4"/>
  <c r="Y87" i="4"/>
  <c r="Y91" i="4"/>
  <c r="Y95" i="4"/>
  <c r="Y99" i="4"/>
  <c r="Y103" i="4"/>
  <c r="Y107" i="4"/>
  <c r="Y111" i="4"/>
  <c r="Y115" i="4"/>
  <c r="Y119" i="4"/>
  <c r="Y123" i="4"/>
  <c r="Y127" i="4"/>
  <c r="Y131" i="4"/>
  <c r="Y135" i="4"/>
  <c r="Y139" i="4"/>
  <c r="Y143" i="4"/>
  <c r="Y147" i="4"/>
  <c r="Y4" i="4"/>
  <c r="Y16" i="4"/>
  <c r="Y24" i="4"/>
  <c r="Y32" i="4"/>
  <c r="Y36" i="4"/>
  <c r="Y52" i="4"/>
  <c r="Y60" i="4"/>
  <c r="Y68" i="4"/>
  <c r="Y76" i="4"/>
  <c r="Y84" i="4"/>
  <c r="Y96" i="4"/>
  <c r="Y104" i="4"/>
  <c r="Y112" i="4"/>
  <c r="Y120" i="4"/>
  <c r="Y128" i="4"/>
  <c r="Y140" i="4"/>
  <c r="Y148" i="4"/>
  <c r="Y175" i="4"/>
  <c r="Y183" i="4"/>
  <c r="Y191" i="4"/>
  <c r="Y163" i="4"/>
  <c r="Y195" i="4"/>
  <c r="Y199" i="4"/>
  <c r="Y170" i="4"/>
  <c r="Y174" i="4"/>
  <c r="Y178" i="4"/>
  <c r="Y182" i="4"/>
  <c r="Y186" i="4"/>
  <c r="Y190" i="4"/>
  <c r="Y194" i="4"/>
  <c r="Y154" i="4"/>
  <c r="Y158" i="4"/>
  <c r="Y162" i="4"/>
  <c r="Y166" i="4"/>
  <c r="Y44" i="4"/>
  <c r="Y92" i="4"/>
  <c r="Y136" i="4"/>
  <c r="Y13" i="4"/>
  <c r="Y29" i="4"/>
  <c r="Y45" i="4"/>
  <c r="Y61" i="4"/>
  <c r="Y77" i="4"/>
  <c r="Y93" i="4"/>
  <c r="Y109" i="4"/>
  <c r="Y125" i="4"/>
  <c r="Y141" i="4"/>
  <c r="Y9" i="4"/>
  <c r="Y41" i="4"/>
  <c r="Y89" i="4"/>
  <c r="Y121" i="4"/>
  <c r="Y17" i="4"/>
  <c r="Y33" i="4"/>
  <c r="Y49" i="4"/>
  <c r="Y65" i="4"/>
  <c r="Y81" i="4"/>
  <c r="Y97" i="4"/>
  <c r="Y113" i="4"/>
  <c r="Y129" i="4"/>
  <c r="Y145" i="4"/>
  <c r="Y73" i="4"/>
  <c r="Y5" i="4"/>
  <c r="Y21" i="4"/>
  <c r="Y37" i="4"/>
  <c r="Y53" i="4"/>
  <c r="Y69" i="4"/>
  <c r="Y85" i="4"/>
  <c r="Y101" i="4"/>
  <c r="Y117" i="4"/>
  <c r="Y133" i="4"/>
  <c r="Y149" i="4"/>
  <c r="Y167" i="4"/>
  <c r="Y25" i="4"/>
  <c r="Y57" i="4"/>
  <c r="Y105" i="4"/>
  <c r="Y137" i="4"/>
  <c r="G3" i="30"/>
  <c r="G3" i="15"/>
  <c r="G3" i="13"/>
  <c r="G3" i="9"/>
  <c r="K11" i="15" l="1"/>
  <c r="M8" i="16"/>
  <c r="M4" i="16"/>
  <c r="K15" i="15" s="1"/>
  <c r="K18" i="15"/>
  <c r="K26" i="15"/>
  <c r="K37" i="15"/>
  <c r="K40" i="15"/>
  <c r="K55" i="15"/>
  <c r="K56" i="15"/>
  <c r="K59" i="15"/>
  <c r="K62" i="15"/>
  <c r="K63" i="15"/>
  <c r="L8" i="9"/>
  <c r="M5" i="15"/>
  <c r="M6" i="15"/>
  <c r="N6" i="15"/>
  <c r="K5" i="15"/>
  <c r="M5" i="13"/>
  <c r="L6" i="15"/>
  <c r="L5" i="15"/>
  <c r="G5" i="15"/>
  <c r="G5" i="13"/>
  <c r="N5" i="13"/>
  <c r="L6" i="13"/>
  <c r="M6" i="9"/>
  <c r="L5" i="13"/>
  <c r="M5" i="9"/>
  <c r="K5" i="13"/>
  <c r="Q5" i="9"/>
  <c r="N5" i="9"/>
  <c r="Q6" i="9"/>
  <c r="P6" i="9"/>
  <c r="O6" i="9"/>
  <c r="N6" i="9"/>
  <c r="G5" i="9"/>
  <c r="L9" i="9"/>
  <c r="L10" i="9"/>
  <c r="L11" i="9"/>
  <c r="L12" i="9"/>
  <c r="L13" i="9"/>
  <c r="W9" i="4"/>
  <c r="L15" i="9"/>
  <c r="L18" i="9"/>
  <c r="L19" i="9"/>
  <c r="L21" i="9"/>
  <c r="W8" i="4"/>
  <c r="W10" i="4"/>
  <c r="L28" i="9"/>
  <c r="L29" i="9"/>
  <c r="L30" i="9"/>
  <c r="L32" i="9"/>
  <c r="L34" i="9"/>
  <c r="L35" i="9"/>
  <c r="L37" i="9"/>
  <c r="L39" i="9"/>
  <c r="L36" i="9"/>
  <c r="L41" i="9"/>
  <c r="L42" i="9"/>
  <c r="L43" i="9"/>
  <c r="L44" i="9"/>
  <c r="L45" i="9"/>
  <c r="L46" i="9"/>
  <c r="L47" i="9"/>
  <c r="L48" i="9"/>
  <c r="L51" i="9"/>
  <c r="L52" i="9"/>
  <c r="L54" i="9"/>
  <c r="L55" i="9"/>
  <c r="L56" i="9"/>
  <c r="L57" i="9"/>
  <c r="L60" i="9"/>
  <c r="L62" i="9"/>
  <c r="L63" i="9"/>
  <c r="L58" i="9"/>
  <c r="L64" i="9"/>
  <c r="L67" i="9"/>
  <c r="L69" i="9"/>
  <c r="L70" i="9"/>
  <c r="L68" i="9"/>
  <c r="L75" i="9"/>
  <c r="L81" i="9"/>
  <c r="L83" i="9"/>
  <c r="K8" i="13"/>
  <c r="K9" i="13"/>
  <c r="K10" i="13"/>
  <c r="W46" i="4"/>
  <c r="K12" i="13"/>
  <c r="K13" i="13"/>
  <c r="K14" i="13"/>
  <c r="K15" i="13"/>
  <c r="K16" i="13"/>
  <c r="K18" i="13"/>
  <c r="K19" i="13"/>
  <c r="K20" i="13"/>
  <c r="K21" i="13"/>
  <c r="K22" i="13"/>
  <c r="K25" i="13"/>
  <c r="K28" i="13"/>
  <c r="K53" i="13"/>
  <c r="K59" i="13"/>
  <c r="K61" i="13"/>
  <c r="K62" i="13"/>
  <c r="K64" i="13"/>
  <c r="K66" i="13"/>
  <c r="K67" i="13"/>
  <c r="K54" i="13"/>
  <c r="K69" i="13"/>
  <c r="K70" i="13"/>
  <c r="K72" i="13"/>
  <c r="L61" i="9" l="1"/>
  <c r="W22" i="4"/>
  <c r="K65" i="13"/>
  <c r="W27" i="4"/>
  <c r="W26" i="4"/>
  <c r="K68" i="13"/>
  <c r="W172" i="4"/>
  <c r="W45" i="4"/>
  <c r="L84" i="9"/>
  <c r="W43" i="4"/>
  <c r="W19" i="4"/>
  <c r="W18" i="4"/>
  <c r="K71" i="13"/>
  <c r="W42" i="4"/>
  <c r="K27" i="13"/>
  <c r="W166" i="4"/>
  <c r="L66" i="9"/>
  <c r="W40" i="4"/>
  <c r="W7" i="4"/>
  <c r="W11" i="4"/>
  <c r="W6" i="4"/>
  <c r="W12" i="4"/>
  <c r="W5" i="4"/>
  <c r="W13" i="4"/>
  <c r="W4" i="4"/>
  <c r="W14" i="4"/>
  <c r="L73" i="9"/>
  <c r="W44" i="4"/>
  <c r="W194" i="4"/>
  <c r="W48" i="4"/>
  <c r="W171" i="4"/>
  <c r="W170" i="4"/>
  <c r="W41" i="4"/>
  <c r="W169" i="4"/>
  <c r="W183" i="4"/>
  <c r="W173" i="4"/>
  <c r="W20" i="4"/>
  <c r="W168" i="4"/>
  <c r="W21" i="4"/>
  <c r="K23" i="13"/>
  <c r="K26" i="13"/>
  <c r="L82" i="9"/>
  <c r="L65" i="9"/>
  <c r="L24" i="9"/>
  <c r="L14" i="9"/>
  <c r="K24" i="13"/>
  <c r="K11" i="13"/>
  <c r="L72" i="9"/>
  <c r="L23" i="9"/>
  <c r="L17" i="9"/>
  <c r="L80" i="9"/>
  <c r="L16" i="9"/>
  <c r="L71" i="9"/>
  <c r="L33" i="9"/>
  <c r="L25" i="9"/>
  <c r="K10" i="15"/>
  <c r="K48" i="15"/>
  <c r="K44" i="15"/>
  <c r="K36" i="15"/>
  <c r="K28" i="15"/>
  <c r="K16" i="15"/>
  <c r="K51" i="15"/>
  <c r="K47" i="15"/>
  <c r="K43" i="15"/>
  <c r="K39" i="15"/>
  <c r="K35" i="15"/>
  <c r="K31" i="15"/>
  <c r="K27" i="15"/>
  <c r="K23" i="15"/>
  <c r="K19" i="15"/>
  <c r="K58" i="15"/>
  <c r="K54" i="15"/>
  <c r="K50" i="15"/>
  <c r="K46" i="15"/>
  <c r="K42" i="15"/>
  <c r="K38" i="15"/>
  <c r="K34" i="15"/>
  <c r="K30" i="15"/>
  <c r="K22" i="15"/>
  <c r="K14" i="15"/>
  <c r="K60" i="15"/>
  <c r="K52" i="15"/>
  <c r="K32" i="15"/>
  <c r="K24" i="15"/>
  <c r="K20" i="15"/>
  <c r="K12" i="15"/>
  <c r="K8" i="15"/>
  <c r="K61" i="15"/>
  <c r="K57" i="15"/>
  <c r="K53" i="15"/>
  <c r="K49" i="15"/>
  <c r="K45" i="15"/>
  <c r="K41" i="15"/>
  <c r="K33" i="15"/>
  <c r="K29" i="15"/>
  <c r="K25" i="15"/>
  <c r="K21" i="15"/>
  <c r="K17" i="15"/>
  <c r="K13" i="15"/>
  <c r="K9" i="15"/>
  <c r="D10" i="13" l="1"/>
  <c r="D11" i="15"/>
  <c r="D12" i="15"/>
  <c r="D13" i="15"/>
  <c r="R208" i="1" l="1"/>
  <c r="R161" i="1" l="1"/>
  <c r="R159" i="1"/>
  <c r="R157" i="1"/>
  <c r="R131" i="1" l="1"/>
  <c r="R133" i="1"/>
  <c r="R134" i="1"/>
  <c r="R135" i="1"/>
  <c r="R137" i="1"/>
  <c r="R139" i="1"/>
  <c r="R141" i="1"/>
  <c r="R143" i="1"/>
  <c r="R145" i="1"/>
  <c r="R147" i="1"/>
  <c r="R149" i="1"/>
  <c r="R151" i="1"/>
  <c r="R153" i="1"/>
  <c r="R155" i="1"/>
  <c r="R163" i="1"/>
  <c r="R164" i="1"/>
  <c r="R165" i="1"/>
  <c r="R166" i="1"/>
  <c r="R167" i="1"/>
  <c r="R168" i="1"/>
  <c r="R170" i="1"/>
  <c r="R172" i="1"/>
  <c r="R186" i="1"/>
  <c r="R187" i="1"/>
  <c r="R188" i="1"/>
  <c r="R189" i="1"/>
  <c r="R190" i="1"/>
  <c r="R191" i="1"/>
  <c r="R193" i="1"/>
  <c r="R194" i="1"/>
  <c r="R195" i="1"/>
  <c r="R196" i="1"/>
  <c r="R197" i="1"/>
  <c r="R198" i="1"/>
  <c r="R199" i="1"/>
  <c r="R200" i="1"/>
  <c r="R201" i="1"/>
  <c r="R202" i="1"/>
  <c r="R203" i="1"/>
  <c r="R205" i="1"/>
  <c r="R206" i="1"/>
  <c r="R207" i="1"/>
  <c r="R209" i="1"/>
  <c r="R211" i="1"/>
  <c r="R213" i="1"/>
  <c r="R215" i="1"/>
  <c r="R217" i="1"/>
  <c r="R221" i="1"/>
  <c r="R223" i="1"/>
  <c r="R225" i="1"/>
  <c r="R227" i="1"/>
  <c r="R232" i="1"/>
  <c r="R233" i="1"/>
  <c r="R234" i="1"/>
  <c r="R235" i="1"/>
  <c r="R236" i="1"/>
  <c r="R237" i="1"/>
  <c r="R238" i="1"/>
  <c r="R239" i="1"/>
  <c r="R240" i="1"/>
  <c r="R241" i="1"/>
  <c r="R242" i="1"/>
  <c r="R243" i="1"/>
  <c r="R244" i="1"/>
  <c r="R245" i="1"/>
  <c r="R246" i="1"/>
  <c r="R247" i="1"/>
  <c r="R248" i="1"/>
  <c r="R249" i="1"/>
  <c r="R250" i="1"/>
  <c r="R251" i="1"/>
  <c r="R252" i="1"/>
  <c r="R253" i="1"/>
  <c r="R254" i="1"/>
  <c r="R255" i="1"/>
  <c r="R256" i="1"/>
  <c r="R257" i="1"/>
  <c r="R258" i="1"/>
  <c r="R259" i="1"/>
  <c r="R260" i="1"/>
  <c r="R262" i="1"/>
  <c r="R263" i="1"/>
  <c r="R264" i="1"/>
  <c r="R265" i="1"/>
  <c r="R266" i="1"/>
  <c r="R267" i="1"/>
  <c r="R268" i="1"/>
  <c r="R269" i="1"/>
  <c r="R270" i="1"/>
  <c r="R273" i="1"/>
  <c r="R276" i="1"/>
  <c r="R278" i="1"/>
  <c r="R280" i="1"/>
  <c r="R281" i="1"/>
  <c r="R283" i="1"/>
  <c r="R284" i="1"/>
  <c r="R285" i="1"/>
  <c r="R286" i="1"/>
  <c r="R287" i="1"/>
  <c r="R288" i="1"/>
  <c r="R289" i="1"/>
  <c r="R290" i="1"/>
  <c r="R292" i="1"/>
  <c r="R296" i="1"/>
  <c r="R297" i="1"/>
  <c r="R298" i="1"/>
  <c r="R299" i="1"/>
  <c r="R300" i="1"/>
  <c r="R301" i="1"/>
  <c r="R302" i="1"/>
  <c r="R303" i="1"/>
  <c r="R304" i="1"/>
  <c r="R305" i="1"/>
  <c r="R306" i="1"/>
  <c r="R307" i="1"/>
  <c r="R308" i="1"/>
  <c r="R309" i="1"/>
  <c r="R310" i="1"/>
  <c r="R311" i="1"/>
  <c r="R312" i="1"/>
  <c r="R313" i="1"/>
  <c r="R314" i="1"/>
  <c r="R315" i="1"/>
  <c r="R316" i="1"/>
  <c r="R317" i="1"/>
  <c r="R318" i="1"/>
  <c r="R319" i="1"/>
  <c r="R320" i="1"/>
  <c r="R321" i="1"/>
  <c r="R322" i="1"/>
  <c r="R324" i="1"/>
  <c r="R329" i="1"/>
  <c r="R331" i="1"/>
  <c r="R332" i="1"/>
  <c r="R333" i="1"/>
  <c r="R339" i="1"/>
  <c r="R340" i="1"/>
  <c r="R341" i="1"/>
  <c r="R342" i="1"/>
  <c r="R343" i="1"/>
  <c r="R344" i="1"/>
  <c r="R345" i="1"/>
  <c r="R346" i="1"/>
  <c r="R347" i="1"/>
  <c r="R348" i="1"/>
  <c r="R94" i="1"/>
  <c r="R96" i="1"/>
  <c r="R98" i="1"/>
  <c r="R99" i="1"/>
  <c r="R101" i="1"/>
  <c r="R103" i="1"/>
  <c r="R105" i="1"/>
  <c r="R106" i="1"/>
  <c r="R107" i="1"/>
  <c r="R108" i="1"/>
  <c r="R109" i="1"/>
  <c r="R110" i="1"/>
  <c r="R111" i="1"/>
  <c r="R113" i="1"/>
  <c r="R114" i="1"/>
  <c r="R115" i="1"/>
  <c r="R116" i="1"/>
  <c r="R117" i="1"/>
  <c r="R118" i="1"/>
  <c r="R119" i="1"/>
  <c r="R121" i="1"/>
  <c r="R122" i="1"/>
  <c r="R124" i="1"/>
  <c r="R126" i="1"/>
  <c r="R127" i="1"/>
  <c r="R129" i="1"/>
  <c r="R3" i="1"/>
  <c r="R4" i="1"/>
  <c r="R5" i="1"/>
  <c r="R6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8" i="1"/>
  <c r="R30" i="1"/>
  <c r="R31" i="1"/>
  <c r="R32" i="1"/>
  <c r="R33" i="1"/>
  <c r="R34" i="1"/>
  <c r="R35" i="1"/>
  <c r="R36" i="1"/>
  <c r="R37" i="1"/>
  <c r="R38" i="1"/>
  <c r="R39" i="1"/>
  <c r="R40" i="1"/>
  <c r="R41" i="1"/>
  <c r="R47" i="1"/>
  <c r="R48" i="1"/>
  <c r="R49" i="1"/>
  <c r="R50" i="1"/>
  <c r="R51" i="1"/>
  <c r="R52" i="1"/>
  <c r="R53" i="1"/>
  <c r="R54" i="1"/>
  <c r="R55" i="1"/>
  <c r="R56" i="1"/>
  <c r="R57" i="1"/>
  <c r="R58" i="1"/>
  <c r="R59" i="1"/>
  <c r="R60" i="1"/>
  <c r="R61" i="1"/>
  <c r="R62" i="1"/>
  <c r="R63" i="1"/>
  <c r="R64" i="1"/>
  <c r="R65" i="1"/>
  <c r="R66" i="1"/>
  <c r="R67" i="1"/>
  <c r="R68" i="1"/>
  <c r="R69" i="1"/>
  <c r="R70" i="1"/>
  <c r="R71" i="1"/>
  <c r="R72" i="1"/>
  <c r="R73" i="1"/>
  <c r="R74" i="1"/>
  <c r="R75" i="1"/>
  <c r="R76" i="1"/>
  <c r="R78" i="1"/>
  <c r="R79" i="1"/>
  <c r="R80" i="1"/>
  <c r="R81" i="1"/>
  <c r="R82" i="1"/>
  <c r="R83" i="1"/>
  <c r="R84" i="1"/>
  <c r="R86" i="1"/>
  <c r="R87" i="1"/>
  <c r="R88" i="1"/>
  <c r="R89" i="1"/>
  <c r="R90" i="1"/>
  <c r="R92" i="1"/>
  <c r="R2" i="1"/>
  <c r="Q2" i="9"/>
  <c r="Q1" i="9"/>
  <c r="AJ69" i="21" l="1"/>
  <c r="T69" i="21"/>
  <c r="R69" i="21"/>
  <c r="U69" i="21"/>
  <c r="AA69" i="21"/>
  <c r="AD69" i="21"/>
  <c r="AF69" i="21"/>
  <c r="W69" i="21"/>
  <c r="AH69" i="21"/>
  <c r="Y69" i="21"/>
  <c r="AB69" i="21"/>
  <c r="X69" i="21"/>
  <c r="Z69" i="21"/>
  <c r="AG69" i="21"/>
  <c r="AC69" i="21"/>
  <c r="AI69" i="21"/>
  <c r="AE69" i="21"/>
  <c r="S69" i="21"/>
  <c r="V69" i="21"/>
  <c r="Q69" i="21"/>
  <c r="V100" i="21" l="1"/>
  <c r="V106" i="21" s="1"/>
  <c r="AB100" i="21"/>
  <c r="AB106" i="21" s="1"/>
  <c r="R100" i="21"/>
  <c r="R106" i="21" s="1"/>
  <c r="S100" i="21"/>
  <c r="S106" i="21" s="1"/>
  <c r="AG100" i="21"/>
  <c r="AG106" i="21" s="1"/>
  <c r="Y100" i="21"/>
  <c r="Y106" i="21" s="1"/>
  <c r="AD100" i="21"/>
  <c r="AD106" i="21" s="1"/>
  <c r="T100" i="21"/>
  <c r="T106" i="21" s="1"/>
  <c r="AC100" i="21"/>
  <c r="AC106" i="21" s="1"/>
  <c r="AF100" i="21"/>
  <c r="AF106" i="21" s="1"/>
  <c r="AE100" i="21"/>
  <c r="AE106" i="21" s="1"/>
  <c r="Z100" i="21"/>
  <c r="Z106" i="21" s="1"/>
  <c r="AH100" i="21"/>
  <c r="AH106" i="21" s="1"/>
  <c r="AA100" i="21"/>
  <c r="AA106" i="21" s="1"/>
  <c r="AJ100" i="21"/>
  <c r="AJ106" i="21" s="1"/>
  <c r="Q100" i="21"/>
  <c r="Q106" i="21" s="1"/>
  <c r="AI100" i="21"/>
  <c r="AI106" i="21" s="1"/>
  <c r="X100" i="21"/>
  <c r="X106" i="21" s="1"/>
  <c r="W100" i="21"/>
  <c r="W106" i="21" s="1"/>
  <c r="U100" i="21"/>
  <c r="U106" i="21" s="1"/>
  <c r="O35" i="21"/>
  <c r="O69" i="21" s="1"/>
  <c r="N35" i="21"/>
  <c r="N69" i="21" s="1"/>
  <c r="M35" i="21"/>
  <c r="M69" i="21" s="1"/>
  <c r="L35" i="21"/>
  <c r="L69" i="21" s="1"/>
  <c r="K35" i="21"/>
  <c r="K69" i="21" s="1"/>
  <c r="J35" i="21"/>
  <c r="J69" i="21" s="1"/>
  <c r="I35" i="21"/>
  <c r="I69" i="21" l="1"/>
  <c r="L100" i="21"/>
  <c r="L106" i="21" s="1"/>
  <c r="M100" i="21"/>
  <c r="M106" i="21" s="1"/>
  <c r="J100" i="21"/>
  <c r="J106" i="21" s="1"/>
  <c r="N100" i="21"/>
  <c r="N106" i="21" s="1"/>
  <c r="K100" i="21"/>
  <c r="K106" i="21" s="1"/>
  <c r="O100" i="21"/>
  <c r="O106" i="21" s="1"/>
  <c r="I100" i="21" l="1"/>
  <c r="I106" i="21" s="1"/>
  <c r="Y2" i="4" l="1"/>
  <c r="Y3" i="4"/>
  <c r="K2" i="4"/>
  <c r="Q192" i="4" s="1"/>
  <c r="S192" i="4" s="1"/>
  <c r="K3" i="4"/>
  <c r="M192" i="4" l="1"/>
  <c r="T192" i="4" s="1"/>
  <c r="Q33" i="4"/>
  <c r="S33" i="4" s="1"/>
  <c r="Q37" i="4"/>
  <c r="S37" i="4" s="1"/>
  <c r="Q30" i="4"/>
  <c r="S30" i="4" s="1"/>
  <c r="Q35" i="4"/>
  <c r="S35" i="4" s="1"/>
  <c r="Q31" i="4"/>
  <c r="S31" i="4" s="1"/>
  <c r="Q38" i="4"/>
  <c r="S38" i="4" s="1"/>
  <c r="Q39" i="4"/>
  <c r="S39" i="4" s="1"/>
  <c r="Q55" i="4"/>
  <c r="S55" i="4" s="1"/>
  <c r="Q32" i="4"/>
  <c r="S32" i="4" s="1"/>
  <c r="Q34" i="4"/>
  <c r="S34" i="4" s="1"/>
  <c r="Q36" i="4"/>
  <c r="S36" i="4" s="1"/>
  <c r="O3" i="4"/>
  <c r="P3" i="4"/>
  <c r="Q3" i="4"/>
  <c r="O2" i="4"/>
  <c r="P2" i="4"/>
  <c r="Q2" i="4"/>
  <c r="Z2" i="4"/>
  <c r="AA2" i="4" s="1"/>
  <c r="X2" i="4"/>
  <c r="Z3" i="4"/>
  <c r="AA3" i="4" s="1"/>
  <c r="X3" i="4"/>
  <c r="L3" i="4"/>
  <c r="L2" i="4"/>
  <c r="W192" i="4" l="1"/>
  <c r="V192" i="4"/>
  <c r="U192" i="4"/>
  <c r="N192" i="4"/>
  <c r="M39" i="4"/>
  <c r="T39" i="4" s="1"/>
  <c r="M30" i="4"/>
  <c r="M35" i="4"/>
  <c r="T35" i="4" s="1"/>
  <c r="M34" i="4"/>
  <c r="T34" i="4" s="1"/>
  <c r="M38" i="4"/>
  <c r="T38" i="4" s="1"/>
  <c r="M37" i="4"/>
  <c r="T37" i="4" s="1"/>
  <c r="M55" i="4"/>
  <c r="M36" i="4"/>
  <c r="T36" i="4" s="1"/>
  <c r="M32" i="4"/>
  <c r="T32" i="4" s="1"/>
  <c r="M31" i="4"/>
  <c r="T31" i="4" s="1"/>
  <c r="M33" i="4"/>
  <c r="T33" i="4" s="1"/>
  <c r="O9" i="9"/>
  <c r="S2" i="4"/>
  <c r="S3" i="4"/>
  <c r="D21" i="6"/>
  <c r="N30" i="4" l="1"/>
  <c r="U30" i="4"/>
  <c r="V30" i="4"/>
  <c r="W30" i="4"/>
  <c r="V31" i="4"/>
  <c r="N31" i="4"/>
  <c r="W31" i="4"/>
  <c r="U31" i="4"/>
  <c r="N36" i="4"/>
  <c r="V36" i="4"/>
  <c r="U36" i="4"/>
  <c r="W36" i="4"/>
  <c r="N37" i="4"/>
  <c r="V37" i="4"/>
  <c r="U37" i="4"/>
  <c r="W37" i="4"/>
  <c r="N34" i="4"/>
  <c r="U34" i="4"/>
  <c r="W34" i="4"/>
  <c r="V34" i="4"/>
  <c r="T30" i="4"/>
  <c r="N55" i="4"/>
  <c r="V55" i="4"/>
  <c r="U55" i="4"/>
  <c r="W55" i="4"/>
  <c r="N33" i="4"/>
  <c r="U33" i="4"/>
  <c r="W33" i="4"/>
  <c r="V33" i="4"/>
  <c r="N32" i="4"/>
  <c r="V32" i="4"/>
  <c r="W32" i="4"/>
  <c r="U32" i="4"/>
  <c r="T55" i="4"/>
  <c r="N38" i="4"/>
  <c r="U38" i="4"/>
  <c r="V38" i="4"/>
  <c r="W38" i="4"/>
  <c r="N35" i="4"/>
  <c r="V35" i="4"/>
  <c r="W35" i="4"/>
  <c r="U35" i="4"/>
  <c r="N39" i="4"/>
  <c r="V39" i="4"/>
  <c r="U39" i="4"/>
  <c r="W39" i="4"/>
  <c r="M3" i="4"/>
  <c r="M2" i="4"/>
  <c r="D22" i="6"/>
  <c r="F22" i="6" s="1"/>
  <c r="F21" i="6"/>
  <c r="E21" i="6"/>
  <c r="U3" i="4" l="1"/>
  <c r="W3" i="4"/>
  <c r="U2" i="4"/>
  <c r="W2" i="4"/>
  <c r="V3" i="4"/>
  <c r="N3" i="4"/>
  <c r="N2" i="4"/>
  <c r="N9" i="9" s="1"/>
  <c r="P9" i="9" s="1"/>
  <c r="T2" i="4"/>
  <c r="T3" i="4"/>
  <c r="V2" i="4"/>
  <c r="E20" i="6"/>
  <c r="E22" i="6"/>
  <c r="M8" i="15" l="1"/>
  <c r="M9" i="15"/>
  <c r="M11" i="15"/>
  <c r="M19" i="15"/>
  <c r="M72" i="13"/>
  <c r="N67" i="13"/>
  <c r="M66" i="13"/>
  <c r="N63" i="13"/>
  <c r="N61" i="13"/>
  <c r="M60" i="13"/>
  <c r="N57" i="13"/>
  <c r="M56" i="13"/>
  <c r="N49" i="13"/>
  <c r="N47" i="13"/>
  <c r="M46" i="13"/>
  <c r="N43" i="13"/>
  <c r="M42" i="13"/>
  <c r="N39" i="13"/>
  <c r="N33" i="13"/>
  <c r="M32" i="13"/>
  <c r="N29" i="13"/>
  <c r="M49" i="13"/>
  <c r="N44" i="13"/>
  <c r="M43" i="13"/>
  <c r="M39" i="13"/>
  <c r="N34" i="13"/>
  <c r="M29" i="13"/>
  <c r="M59" i="13"/>
  <c r="M55" i="13"/>
  <c r="M45" i="13"/>
  <c r="M41" i="13"/>
  <c r="M27" i="13"/>
  <c r="N68" i="13"/>
  <c r="M67" i="13"/>
  <c r="N64" i="13"/>
  <c r="M63" i="13"/>
  <c r="M61" i="13"/>
  <c r="N58" i="13"/>
  <c r="M57" i="13"/>
  <c r="N54" i="13"/>
  <c r="N50" i="13"/>
  <c r="M47" i="13"/>
  <c r="N40" i="13"/>
  <c r="M33" i="13"/>
  <c r="N56" i="13"/>
  <c r="N42" i="13"/>
  <c r="N71" i="13"/>
  <c r="N69" i="13"/>
  <c r="M68" i="13"/>
  <c r="N65" i="13"/>
  <c r="M64" i="13"/>
  <c r="N59" i="13"/>
  <c r="M58" i="13"/>
  <c r="N55" i="13"/>
  <c r="M54" i="13"/>
  <c r="N51" i="13"/>
  <c r="M50" i="13"/>
  <c r="N45" i="13"/>
  <c r="M44" i="13"/>
  <c r="N41" i="13"/>
  <c r="M40" i="13"/>
  <c r="N35" i="13"/>
  <c r="M34" i="13"/>
  <c r="N27" i="13"/>
  <c r="N72" i="13"/>
  <c r="M71" i="13"/>
  <c r="M69" i="13"/>
  <c r="N66" i="13"/>
  <c r="M65" i="13"/>
  <c r="N60" i="13"/>
  <c r="M51" i="13"/>
  <c r="N46" i="13"/>
  <c r="M35" i="13"/>
  <c r="N32" i="13"/>
  <c r="N61" i="15"/>
  <c r="N47" i="15"/>
  <c r="N41" i="15"/>
  <c r="N33" i="15"/>
  <c r="N25" i="15"/>
  <c r="N32" i="15"/>
  <c r="N15" i="15"/>
  <c r="N49" i="15"/>
  <c r="N26" i="15"/>
  <c r="N14" i="15"/>
  <c r="N59" i="15"/>
  <c r="N45" i="15"/>
  <c r="N40" i="15"/>
  <c r="N24" i="15"/>
  <c r="N43" i="15"/>
  <c r="N51" i="15"/>
  <c r="N44" i="15"/>
  <c r="N39" i="15"/>
  <c r="N29" i="15"/>
  <c r="N35" i="15"/>
  <c r="N28" i="15"/>
  <c r="N34" i="15"/>
  <c r="N54" i="15"/>
  <c r="N13" i="15"/>
  <c r="N20" i="15"/>
  <c r="N8" i="15"/>
  <c r="N11" i="15"/>
  <c r="N19" i="15"/>
  <c r="N53" i="15"/>
  <c r="N17" i="15"/>
  <c r="N9" i="15"/>
  <c r="N12" i="15"/>
  <c r="N48" i="15"/>
  <c r="N36" i="15"/>
  <c r="N23" i="15"/>
  <c r="N30" i="15"/>
  <c r="N58" i="15"/>
  <c r="N52" i="15"/>
  <c r="N20" i="13"/>
  <c r="N13" i="13"/>
  <c r="N19" i="13"/>
  <c r="N12" i="13"/>
  <c r="N17" i="13"/>
  <c r="N21" i="13"/>
  <c r="N15" i="13"/>
  <c r="N24" i="13"/>
  <c r="N26" i="13"/>
  <c r="N18" i="13"/>
  <c r="N11" i="13"/>
  <c r="N23" i="13"/>
  <c r="M28" i="15"/>
  <c r="Q83" i="9"/>
  <c r="Q77" i="9"/>
  <c r="Q72" i="9"/>
  <c r="Q67" i="9"/>
  <c r="Q62" i="9"/>
  <c r="Q57" i="9"/>
  <c r="Q51" i="9"/>
  <c r="Q46" i="9"/>
  <c r="Q39" i="9"/>
  <c r="Q35" i="9"/>
  <c r="Q29" i="9"/>
  <c r="Q24" i="9"/>
  <c r="Q17" i="9"/>
  <c r="Q12" i="9"/>
  <c r="Q80" i="9"/>
  <c r="Q70" i="9"/>
  <c r="Q60" i="9"/>
  <c r="Q55" i="9"/>
  <c r="Q42" i="9"/>
  <c r="Q32" i="9"/>
  <c r="Q20" i="9"/>
  <c r="Q14" i="9"/>
  <c r="Q82" i="9"/>
  <c r="Q76" i="9"/>
  <c r="Q71" i="9"/>
  <c r="Q66" i="9"/>
  <c r="Q61" i="9"/>
  <c r="Q56" i="9"/>
  <c r="Q50" i="9"/>
  <c r="Q43" i="9"/>
  <c r="Q38" i="9"/>
  <c r="Q33" i="9"/>
  <c r="Q28" i="9"/>
  <c r="Q23" i="9"/>
  <c r="Q16" i="9"/>
  <c r="Q74" i="9"/>
  <c r="Q65" i="9"/>
  <c r="Q49" i="9"/>
  <c r="Q37" i="9"/>
  <c r="Q26" i="9"/>
  <c r="Q15" i="9"/>
  <c r="Q84" i="9"/>
  <c r="Q79" i="9"/>
  <c r="Q73" i="9"/>
  <c r="Q69" i="9"/>
  <c r="Q63" i="9"/>
  <c r="Q58" i="9"/>
  <c r="Q52" i="9"/>
  <c r="Q47" i="9"/>
  <c r="Q40" i="9"/>
  <c r="Q36" i="9"/>
  <c r="Q30" i="9"/>
  <c r="Q25" i="9"/>
  <c r="Q19" i="9"/>
  <c r="O83" i="9"/>
  <c r="O65" i="9"/>
  <c r="O42" i="9"/>
  <c r="O23" i="9"/>
  <c r="O51" i="9"/>
  <c r="O12" i="9"/>
  <c r="O66" i="9"/>
  <c r="O24" i="9"/>
  <c r="O69" i="9"/>
  <c r="O47" i="9"/>
  <c r="O17" i="9"/>
  <c r="O46" i="9"/>
  <c r="O80" i="9"/>
  <c r="O39" i="9"/>
  <c r="O79" i="9"/>
  <c r="O60" i="9"/>
  <c r="O38" i="9"/>
  <c r="O14" i="9"/>
  <c r="O40" i="9"/>
  <c r="O56" i="9"/>
  <c r="O15" i="9"/>
  <c r="O63" i="9"/>
  <c r="O37" i="9"/>
  <c r="O77" i="9"/>
  <c r="O36" i="9"/>
  <c r="O71" i="9"/>
  <c r="O29" i="9"/>
  <c r="O74" i="9"/>
  <c r="O55" i="9"/>
  <c r="O33" i="9"/>
  <c r="O72" i="9"/>
  <c r="O30" i="9"/>
  <c r="O84" i="9"/>
  <c r="O43" i="9"/>
  <c r="O82" i="9"/>
  <c r="O58" i="9"/>
  <c r="O32" i="9"/>
  <c r="O67" i="9"/>
  <c r="O25" i="9"/>
  <c r="O61" i="9"/>
  <c r="O19" i="9"/>
  <c r="O70" i="9"/>
  <c r="O49" i="9"/>
  <c r="O28" i="9"/>
  <c r="O62" i="9"/>
  <c r="O20" i="9"/>
  <c r="O76" i="9"/>
  <c r="O35" i="9"/>
  <c r="O52" i="9"/>
  <c r="O26" i="9"/>
  <c r="O16" i="9"/>
  <c r="O73" i="9"/>
  <c r="O57" i="9"/>
  <c r="O50" i="9"/>
  <c r="M58" i="15"/>
  <c r="M61" i="15"/>
  <c r="M59" i="15"/>
  <c r="N12" i="9"/>
  <c r="M54" i="15"/>
  <c r="M53" i="15"/>
  <c r="M47" i="15"/>
  <c r="M41" i="15"/>
  <c r="M35" i="15"/>
  <c r="M30" i="15"/>
  <c r="M51" i="15"/>
  <c r="M33" i="15"/>
  <c r="M48" i="15"/>
  <c r="M36" i="15"/>
  <c r="M52" i="15"/>
  <c r="M45" i="15"/>
  <c r="M40" i="15"/>
  <c r="M34" i="15"/>
  <c r="M29" i="15"/>
  <c r="M44" i="15"/>
  <c r="M39" i="15"/>
  <c r="M43" i="15"/>
  <c r="M32" i="15"/>
  <c r="M26" i="15"/>
  <c r="M20" i="15"/>
  <c r="M24" i="15"/>
  <c r="M25" i="15"/>
  <c r="M17" i="15"/>
  <c r="M23" i="15"/>
  <c r="M14" i="15"/>
  <c r="M15" i="15"/>
  <c r="M13" i="15"/>
  <c r="M12" i="15"/>
  <c r="M11" i="13"/>
  <c r="M13" i="13"/>
  <c r="M12" i="13"/>
  <c r="M70" i="13"/>
  <c r="M17" i="13"/>
  <c r="M26" i="13"/>
  <c r="M23" i="13"/>
  <c r="M15" i="13"/>
  <c r="M18" i="13"/>
  <c r="M24" i="13"/>
  <c r="M21" i="13"/>
  <c r="M20" i="13"/>
  <c r="M19" i="13"/>
  <c r="N73" i="9"/>
  <c r="N72" i="9"/>
  <c r="N69" i="9"/>
  <c r="N82" i="9"/>
  <c r="N14" i="9"/>
  <c r="N67" i="9"/>
  <c r="N76" i="9"/>
  <c r="N80" i="9"/>
  <c r="N66" i="9"/>
  <c r="N65" i="9"/>
  <c r="N77" i="9"/>
  <c r="N84" i="9"/>
  <c r="N71" i="9"/>
  <c r="N74" i="9"/>
  <c r="N83" i="9"/>
  <c r="N79" i="9"/>
  <c r="N70" i="9"/>
  <c r="N60" i="9"/>
  <c r="N46" i="9"/>
  <c r="N36" i="9"/>
  <c r="N23" i="9"/>
  <c r="N43" i="9"/>
  <c r="N17" i="9"/>
  <c r="N62" i="9"/>
  <c r="N52" i="9"/>
  <c r="N26" i="9"/>
  <c r="N49" i="9"/>
  <c r="N58" i="9"/>
  <c r="N56" i="9"/>
  <c r="N30" i="9"/>
  <c r="N37" i="9"/>
  <c r="N25" i="9"/>
  <c r="N38" i="9"/>
  <c r="N51" i="9"/>
  <c r="N20" i="9"/>
  <c r="N42" i="9"/>
  <c r="N57" i="9"/>
  <c r="N47" i="9"/>
  <c r="N28" i="9"/>
  <c r="N50" i="9"/>
  <c r="N29" i="9"/>
  <c r="N19" i="9"/>
  <c r="N63" i="9"/>
  <c r="N32" i="9"/>
  <c r="N55" i="9"/>
  <c r="N24" i="9"/>
  <c r="N33" i="9"/>
  <c r="N39" i="9"/>
  <c r="N15" i="9"/>
  <c r="N35" i="9"/>
  <c r="N16" i="9"/>
  <c r="N61" i="9"/>
  <c r="N40" i="9"/>
  <c r="M53" i="13" l="1"/>
  <c r="N31" i="13"/>
  <c r="N70" i="13"/>
  <c r="N53" i="13"/>
  <c r="M62" i="13"/>
  <c r="M31" i="13"/>
  <c r="N62" i="13"/>
  <c r="M48" i="13"/>
  <c r="N38" i="13"/>
  <c r="M38" i="13"/>
  <c r="N48" i="13"/>
  <c r="N57" i="15"/>
  <c r="N50" i="15"/>
  <c r="N10" i="15"/>
  <c r="N18" i="15"/>
  <c r="N16" i="15" s="1"/>
  <c r="N31" i="15"/>
  <c r="N27" i="15"/>
  <c r="N22" i="15"/>
  <c r="N21" i="15" s="1"/>
  <c r="N42" i="15"/>
  <c r="N46" i="15"/>
  <c r="Q18" i="9"/>
  <c r="N38" i="15"/>
  <c r="N22" i="13"/>
  <c r="N10" i="13"/>
  <c r="N25" i="13"/>
  <c r="N16" i="13"/>
  <c r="N14" i="13" s="1"/>
  <c r="Q78" i="9"/>
  <c r="M38" i="15"/>
  <c r="Q75" i="9"/>
  <c r="P50" i="9"/>
  <c r="P12" i="9"/>
  <c r="O27" i="9"/>
  <c r="O78" i="9"/>
  <c r="O81" i="9"/>
  <c r="P66" i="9"/>
  <c r="Q27" i="9"/>
  <c r="Q13" i="9"/>
  <c r="O31" i="9"/>
  <c r="O13" i="9"/>
  <c r="O59" i="9"/>
  <c r="O54" i="9" s="1"/>
  <c r="M57" i="15"/>
  <c r="O75" i="9"/>
  <c r="O48" i="9"/>
  <c r="O45" i="9" s="1"/>
  <c r="O41" i="9"/>
  <c r="O34" i="9" s="1"/>
  <c r="Q59" i="9"/>
  <c r="Q54" i="9" s="1"/>
  <c r="Q68" i="9"/>
  <c r="Q64" i="9" s="1"/>
  <c r="Q48" i="9"/>
  <c r="Q45" i="9" s="1"/>
  <c r="Q81" i="9"/>
  <c r="Q31" i="9"/>
  <c r="O22" i="9"/>
  <c r="O18" i="9"/>
  <c r="O68" i="9"/>
  <c r="O64" i="9" s="1"/>
  <c r="Q22" i="9"/>
  <c r="Q41" i="9"/>
  <c r="Q34" i="9" s="1"/>
  <c r="M42" i="15"/>
  <c r="M31" i="15"/>
  <c r="M50" i="15"/>
  <c r="M49" i="15"/>
  <c r="M46" i="15"/>
  <c r="M27" i="15"/>
  <c r="M18" i="15"/>
  <c r="P71" i="9"/>
  <c r="M22" i="15"/>
  <c r="M10" i="15"/>
  <c r="P32" i="9"/>
  <c r="P28" i="9"/>
  <c r="P16" i="9"/>
  <c r="P33" i="9"/>
  <c r="P58" i="9"/>
  <c r="P62" i="9"/>
  <c r="P25" i="9"/>
  <c r="P84" i="9"/>
  <c r="P80" i="9"/>
  <c r="M22" i="13"/>
  <c r="P24" i="9"/>
  <c r="P19" i="9"/>
  <c r="P37" i="9"/>
  <c r="P56" i="9"/>
  <c r="P23" i="9"/>
  <c r="P14" i="9"/>
  <c r="P73" i="9"/>
  <c r="M25" i="13"/>
  <c r="P61" i="9"/>
  <c r="P39" i="9"/>
  <c r="P38" i="9"/>
  <c r="P70" i="9"/>
  <c r="M16" i="13"/>
  <c r="M10" i="13"/>
  <c r="P47" i="9"/>
  <c r="P20" i="9"/>
  <c r="P63" i="9"/>
  <c r="P42" i="9"/>
  <c r="P36" i="9"/>
  <c r="P17" i="9"/>
  <c r="N13" i="9"/>
  <c r="P30" i="9"/>
  <c r="P26" i="9"/>
  <c r="P43" i="9"/>
  <c r="P60" i="9"/>
  <c r="P67" i="9"/>
  <c r="P72" i="9"/>
  <c r="P52" i="9"/>
  <c r="P79" i="9"/>
  <c r="N78" i="9"/>
  <c r="N81" i="9"/>
  <c r="P82" i="9"/>
  <c r="P35" i="9"/>
  <c r="P49" i="9"/>
  <c r="P83" i="9"/>
  <c r="P77" i="9"/>
  <c r="P76" i="9"/>
  <c r="N75" i="9"/>
  <c r="N68" i="9"/>
  <c r="N64" i="9" s="1"/>
  <c r="P69" i="9"/>
  <c r="P29" i="9"/>
  <c r="P57" i="9"/>
  <c r="P51" i="9"/>
  <c r="P74" i="9"/>
  <c r="P65" i="9"/>
  <c r="P46" i="9"/>
  <c r="P40" i="9"/>
  <c r="P15" i="9"/>
  <c r="P55" i="9"/>
  <c r="N18" i="9"/>
  <c r="N27" i="9"/>
  <c r="N22" i="9"/>
  <c r="N41" i="9"/>
  <c r="N48" i="9"/>
  <c r="N31" i="9"/>
  <c r="N59" i="9"/>
  <c r="Q11" i="9" l="1"/>
  <c r="M21" i="15"/>
  <c r="M16" i="15"/>
  <c r="M52" i="13"/>
  <c r="M14" i="13"/>
  <c r="N37" i="13"/>
  <c r="M37" i="13"/>
  <c r="N52" i="13"/>
  <c r="N37" i="15"/>
  <c r="N55" i="15"/>
  <c r="M55" i="15"/>
  <c r="P13" i="9"/>
  <c r="O21" i="9"/>
  <c r="Q53" i="9"/>
  <c r="Q44" i="9" s="1"/>
  <c r="O53" i="9"/>
  <c r="O44" i="9" s="1"/>
  <c r="Q21" i="9"/>
  <c r="O11" i="9"/>
  <c r="P81" i="9"/>
  <c r="P48" i="9"/>
  <c r="P59" i="9"/>
  <c r="P75" i="9"/>
  <c r="P18" i="9"/>
  <c r="P27" i="9"/>
  <c r="P31" i="9"/>
  <c r="P22" i="9"/>
  <c r="P64" i="9"/>
  <c r="P68" i="9"/>
  <c r="P78" i="9"/>
  <c r="N34" i="9"/>
  <c r="P41" i="9"/>
  <c r="N21" i="9"/>
  <c r="N54" i="9"/>
  <c r="N45" i="9"/>
  <c r="N11" i="9"/>
  <c r="M37" i="15" l="1"/>
  <c r="Q10" i="9"/>
  <c r="I112" i="21" s="1"/>
  <c r="M36" i="13"/>
  <c r="M30" i="13" s="1"/>
  <c r="P45" i="9"/>
  <c r="P34" i="9"/>
  <c r="P54" i="9"/>
  <c r="N36" i="13"/>
  <c r="N30" i="13" s="1"/>
  <c r="O10" i="9"/>
  <c r="O8" i="9" s="1"/>
  <c r="P11" i="9"/>
  <c r="N56" i="15"/>
  <c r="P21" i="9"/>
  <c r="N53" i="9"/>
  <c r="M56" i="15" l="1"/>
  <c r="M60" i="15" s="1"/>
  <c r="P53" i="9"/>
  <c r="N60" i="15"/>
  <c r="Q8" i="9"/>
  <c r="N44" i="9"/>
  <c r="M10" i="30" l="1"/>
  <c r="M18" i="30" s="1"/>
  <c r="M24" i="30" s="1"/>
  <c r="M30" i="30" s="1"/>
  <c r="M47" i="30" s="1"/>
  <c r="M62" i="15"/>
  <c r="N62" i="15"/>
  <c r="N28" i="13" s="1"/>
  <c r="E31" i="6" s="1"/>
  <c r="T7" i="9"/>
  <c r="E26" i="6" s="1"/>
  <c r="E33" i="6"/>
  <c r="T5" i="9"/>
  <c r="P44" i="9"/>
  <c r="M28" i="13" l="1"/>
  <c r="D30" i="6"/>
  <c r="P7" i="15"/>
  <c r="D25" i="6" s="1"/>
  <c r="P5" i="15"/>
  <c r="Q7" i="15"/>
  <c r="E25" i="6" s="1"/>
  <c r="E30" i="6"/>
  <c r="Q5" i="15"/>
  <c r="D31" i="6" l="1"/>
  <c r="M9" i="13"/>
  <c r="D32" i="6"/>
  <c r="F25" i="6"/>
  <c r="N9" i="13"/>
  <c r="E32" i="6"/>
  <c r="F32" i="6" l="1"/>
  <c r="P5" i="13"/>
  <c r="M8" i="13"/>
  <c r="Q7" i="13"/>
  <c r="Q5" i="13"/>
  <c r="N8" i="13"/>
  <c r="H61" i="21" l="1"/>
  <c r="P61" i="21" s="1"/>
  <c r="AK61" i="21" s="1"/>
  <c r="H56" i="21"/>
  <c r="P56" i="21" s="1"/>
  <c r="AK56" i="21" s="1"/>
  <c r="H28" i="21"/>
  <c r="AK28" i="21" s="1"/>
  <c r="H10" i="21"/>
  <c r="P10" i="21" s="1"/>
  <c r="AK10" i="21" s="1"/>
  <c r="H58" i="21"/>
  <c r="H57" i="21" s="1"/>
  <c r="P57" i="21" s="1"/>
  <c r="AK57" i="21" s="1"/>
  <c r="L26" i="30" s="1"/>
  <c r="H66" i="21"/>
  <c r="P66" i="21" s="1"/>
  <c r="AK66" i="21" s="1"/>
  <c r="H24" i="21"/>
  <c r="P24" i="21" s="1"/>
  <c r="AK24" i="21" s="1"/>
  <c r="H11" i="21"/>
  <c r="P11" i="21" s="1"/>
  <c r="AK11" i="21" s="1"/>
  <c r="H22" i="21"/>
  <c r="P22" i="21" s="1"/>
  <c r="AK22" i="21" s="1"/>
  <c r="H67" i="21"/>
  <c r="P67" i="21" s="1"/>
  <c r="AK67" i="21" s="1"/>
  <c r="H60" i="21"/>
  <c r="P60" i="21" s="1"/>
  <c r="AK60" i="21" s="1"/>
  <c r="H63" i="21"/>
  <c r="P63" i="21" s="1"/>
  <c r="AK63" i="21" s="1"/>
  <c r="H96" i="21"/>
  <c r="P96" i="21" s="1"/>
  <c r="AK96" i="21" s="1"/>
  <c r="L44" i="30" s="1"/>
  <c r="H64" i="21"/>
  <c r="P64" i="21" s="1"/>
  <c r="AK64" i="21" s="1"/>
  <c r="H78" i="21"/>
  <c r="P78" i="21" s="1"/>
  <c r="AK78" i="21" s="1"/>
  <c r="H21" i="21"/>
  <c r="P21" i="21" s="1"/>
  <c r="AK21" i="21" s="1"/>
  <c r="H77" i="21"/>
  <c r="H27" i="21"/>
  <c r="AK27" i="21" s="1"/>
  <c r="N10" i="9"/>
  <c r="H55" i="21" l="1"/>
  <c r="P55" i="21" s="1"/>
  <c r="AK55" i="21" s="1"/>
  <c r="L25" i="30" s="1"/>
  <c r="H23" i="21"/>
  <c r="P23" i="21" s="1"/>
  <c r="AK23" i="21" s="1"/>
  <c r="L15" i="30" s="1"/>
  <c r="H9" i="21"/>
  <c r="P9" i="21" s="1"/>
  <c r="AK9" i="21" s="1"/>
  <c r="L10" i="30" s="1"/>
  <c r="H20" i="21"/>
  <c r="P20" i="21" s="1"/>
  <c r="I123" i="21" s="1"/>
  <c r="P58" i="21"/>
  <c r="AK58" i="21" s="1"/>
  <c r="I122" i="21"/>
  <c r="H62" i="21"/>
  <c r="P62" i="21" s="1"/>
  <c r="AK62" i="21" s="1"/>
  <c r="L28" i="30" s="1"/>
  <c r="H65" i="21"/>
  <c r="P65" i="21" s="1"/>
  <c r="AK65" i="21" s="1"/>
  <c r="L29" i="30" s="1"/>
  <c r="H59" i="21"/>
  <c r="P59" i="21" s="1"/>
  <c r="AK59" i="21" s="1"/>
  <c r="L27" i="30" s="1"/>
  <c r="H26" i="21"/>
  <c r="P26" i="21" s="1"/>
  <c r="AK26" i="21" s="1"/>
  <c r="L16" i="30" s="1"/>
  <c r="P77" i="21"/>
  <c r="H76" i="21"/>
  <c r="P76" i="21" s="1"/>
  <c r="AK76" i="21" s="1"/>
  <c r="L33" i="30" s="1"/>
  <c r="P10" i="9"/>
  <c r="I111" i="21" s="1"/>
  <c r="I113" i="21" s="1"/>
  <c r="S5" i="9"/>
  <c r="S7" i="9"/>
  <c r="D26" i="6" s="1"/>
  <c r="F26" i="6" s="1"/>
  <c r="N8" i="9"/>
  <c r="P8" i="9" s="1"/>
  <c r="P7" i="13" s="1"/>
  <c r="AK20" i="21" l="1"/>
  <c r="L14" i="30" s="1"/>
  <c r="AK77" i="21"/>
  <c r="I121" i="21"/>
  <c r="D33" i="6"/>
  <c r="D27" i="6"/>
  <c r="D34" i="6"/>
  <c r="D35" i="6" l="1"/>
  <c r="E34" i="6" l="1"/>
  <c r="E35" i="6" s="1"/>
  <c r="F35" i="6" s="1"/>
  <c r="E27" i="6"/>
  <c r="F27" i="6" s="1"/>
  <c r="H38" i="21" l="1"/>
  <c r="P38" i="21" s="1"/>
  <c r="AK38" i="21" s="1"/>
  <c r="H6" i="21"/>
  <c r="P6" i="21" s="1"/>
  <c r="AK6" i="21" s="1"/>
  <c r="H46" i="21"/>
  <c r="P46" i="21" s="1"/>
  <c r="AK46" i="21" s="1"/>
  <c r="H51" i="21"/>
  <c r="H103" i="21"/>
  <c r="H80" i="21"/>
  <c r="H5" i="21"/>
  <c r="H47" i="21"/>
  <c r="P47" i="21" s="1"/>
  <c r="AK47" i="21" s="1"/>
  <c r="H49" i="21"/>
  <c r="P49" i="21" s="1"/>
  <c r="AK49" i="21" s="1"/>
  <c r="H52" i="21"/>
  <c r="P52" i="21" s="1"/>
  <c r="AK52" i="21" s="1"/>
  <c r="H48" i="21"/>
  <c r="P48" i="21" s="1"/>
  <c r="AK48" i="21" s="1"/>
  <c r="H16" i="21"/>
  <c r="H104" i="21"/>
  <c r="P104" i="21" s="1"/>
  <c r="AK104" i="21" s="1"/>
  <c r="H45" i="21"/>
  <c r="P45" i="21" s="1"/>
  <c r="AK45" i="21" s="1"/>
  <c r="H17" i="21" l="1"/>
  <c r="P17" i="21" s="1"/>
  <c r="AK17" i="21" s="1"/>
  <c r="H37" i="21"/>
  <c r="P37" i="21" s="1"/>
  <c r="AK37" i="21" s="1"/>
  <c r="H39" i="21"/>
  <c r="P39" i="21" s="1"/>
  <c r="AK39" i="21" s="1"/>
  <c r="H44" i="21"/>
  <c r="H43" i="21" s="1"/>
  <c r="P43" i="21" s="1"/>
  <c r="AK43" i="21" s="1"/>
  <c r="L22" i="30" s="1"/>
  <c r="P16" i="21"/>
  <c r="AK16" i="21" s="1"/>
  <c r="H15" i="21"/>
  <c r="H79" i="21"/>
  <c r="P80" i="21"/>
  <c r="AK80" i="21" s="1"/>
  <c r="P103" i="21"/>
  <c r="AK103" i="21" s="1"/>
  <c r="H102" i="21"/>
  <c r="P102" i="21" s="1"/>
  <c r="AK102" i="21" s="1"/>
  <c r="L49" i="30" s="1"/>
  <c r="P5" i="21"/>
  <c r="AK5" i="21" s="1"/>
  <c r="H4" i="21"/>
  <c r="P4" i="21" s="1"/>
  <c r="AK4" i="21" s="1"/>
  <c r="L8" i="30" s="1"/>
  <c r="M49" i="30" s="1"/>
  <c r="P51" i="21"/>
  <c r="AK51" i="21" s="1"/>
  <c r="H50" i="21"/>
  <c r="P50" i="21" s="1"/>
  <c r="AK50" i="21" s="1"/>
  <c r="L23" i="30" s="1"/>
  <c r="H42" i="21"/>
  <c r="P42" i="21" s="1"/>
  <c r="AK42" i="21" s="1"/>
  <c r="H86" i="21"/>
  <c r="H87" i="21"/>
  <c r="P87" i="21" s="1"/>
  <c r="AK87" i="21" s="1"/>
  <c r="H89" i="21"/>
  <c r="H41" i="21"/>
  <c r="H19" i="21"/>
  <c r="H90" i="21"/>
  <c r="P90" i="21" s="1"/>
  <c r="AK90" i="21" s="1"/>
  <c r="H91" i="21"/>
  <c r="P91" i="21" s="1"/>
  <c r="AK91" i="21" s="1"/>
  <c r="P44" i="21" l="1"/>
  <c r="AK44" i="21" s="1"/>
  <c r="H36" i="21"/>
  <c r="P36" i="21" s="1"/>
  <c r="AK36" i="21" s="1"/>
  <c r="L20" i="30" s="1"/>
  <c r="P79" i="21"/>
  <c r="AK79" i="21" s="1"/>
  <c r="L34" i="30" s="1"/>
  <c r="H82" i="21"/>
  <c r="P82" i="21" s="1"/>
  <c r="AK82" i="21" s="1"/>
  <c r="L35" i="30" s="1"/>
  <c r="P15" i="21"/>
  <c r="AK15" i="21" s="1"/>
  <c r="H14" i="21"/>
  <c r="P14" i="21" s="1"/>
  <c r="H18" i="21"/>
  <c r="P19" i="21"/>
  <c r="AK19" i="21" s="1"/>
  <c r="H85" i="21"/>
  <c r="P86" i="21"/>
  <c r="AK86" i="21" s="1"/>
  <c r="P41" i="21"/>
  <c r="AK41" i="21" s="1"/>
  <c r="H40" i="21"/>
  <c r="P89" i="21"/>
  <c r="AK89" i="21" s="1"/>
  <c r="L39" i="30" s="1"/>
  <c r="H88" i="21"/>
  <c r="P88" i="21" s="1"/>
  <c r="AK88" i="21" s="1"/>
  <c r="L38" i="30" s="1"/>
  <c r="AK14" i="21" l="1"/>
  <c r="L12" i="30" s="1"/>
  <c r="I119" i="21"/>
  <c r="I125" i="21" s="1"/>
  <c r="I127" i="21" s="1"/>
  <c r="J127" i="21" s="1"/>
  <c r="P85" i="21"/>
  <c r="AK85" i="21" s="1"/>
  <c r="L37" i="30" s="1"/>
  <c r="H98" i="21"/>
  <c r="P98" i="21" s="1"/>
  <c r="AK98" i="21" s="1"/>
  <c r="L45" i="30" s="1"/>
  <c r="P40" i="21"/>
  <c r="AK40" i="21" s="1"/>
  <c r="L21" i="30" s="1"/>
  <c r="H35" i="21"/>
  <c r="P35" i="21" s="1"/>
  <c r="AK35" i="21" s="1"/>
  <c r="L19" i="30" s="1"/>
  <c r="P18" i="21"/>
  <c r="AK18" i="21" s="1"/>
  <c r="L13" i="30" s="1"/>
  <c r="H13" i="21"/>
  <c r="P13" i="21" s="1"/>
  <c r="AK13" i="21" s="1"/>
  <c r="L11" i="30" s="1"/>
  <c r="H33" i="21"/>
  <c r="H53" i="21" l="1"/>
  <c r="P33" i="21"/>
  <c r="AK33" i="21" s="1"/>
  <c r="L18" i="30" s="1"/>
  <c r="H69" i="21" l="1"/>
  <c r="P53" i="21"/>
  <c r="AK53" i="21" s="1"/>
  <c r="L24" i="30" s="1"/>
  <c r="P69" i="21" l="1"/>
  <c r="AK69" i="21" s="1"/>
  <c r="L30" i="30" s="1"/>
  <c r="H100" i="21"/>
  <c r="P100" i="21" l="1"/>
  <c r="AK100" i="21" s="1"/>
  <c r="H106" i="21"/>
  <c r="P106" i="21" s="1"/>
  <c r="L47" i="30" l="1"/>
  <c r="AK106" i="21"/>
</calcChain>
</file>

<file path=xl/sharedStrings.xml><?xml version="1.0" encoding="utf-8"?>
<sst xmlns="http://schemas.openxmlformats.org/spreadsheetml/2006/main" count="6285" uniqueCount="1304">
  <si>
    <t>Nehmotné výsledky výzkumu a vývoje</t>
  </si>
  <si>
    <t>Software</t>
  </si>
  <si>
    <t>Ocenitelná práva</t>
  </si>
  <si>
    <t>Goodwill</t>
  </si>
  <si>
    <t>Stavby</t>
  </si>
  <si>
    <t>Pěstitelské celky trvalých porostů</t>
  </si>
  <si>
    <t>Dospělá zvířata a jejich skupiny</t>
  </si>
  <si>
    <t>Jiný dlouhodobý hmotný majetek</t>
  </si>
  <si>
    <t>Pozemky</t>
  </si>
  <si>
    <t>Umělecká díla a sbírky</t>
  </si>
  <si>
    <t>Pořízení dlouhodobého finančního majetku</t>
  </si>
  <si>
    <t>Poskytnuté zálohy na dlouhodobý nehmotný majetek</t>
  </si>
  <si>
    <t>Poskytnuté zálohy na dlouhodobý hmotný majetek</t>
  </si>
  <si>
    <t>Poskytnuté zálohy na dlouhodobý finanční majetek</t>
  </si>
  <si>
    <t>Ostatní cenné papíry a podíly</t>
  </si>
  <si>
    <t>Dluhové cenné papíry držené do splatnosti</t>
  </si>
  <si>
    <t>Jiný dlouhodobý finanční majetek</t>
  </si>
  <si>
    <t>Oprávky k nehmotným výsledkům výzkumu a vývoje</t>
  </si>
  <si>
    <t>Oprávky k softwaru</t>
  </si>
  <si>
    <t>Oprávky ke goodwillu</t>
  </si>
  <si>
    <t>Oprávky ke stavbám</t>
  </si>
  <si>
    <t>Oprávky k pěstitelským celkům trvalých porostů</t>
  </si>
  <si>
    <t>Oprávky k základnímu stádu a tažným zvířatům</t>
  </si>
  <si>
    <t>Oprávky k jinému dlouhodobému hmotnému majetku</t>
  </si>
  <si>
    <t>Opravná položka k dlouhodobému nehmotnému majetku</t>
  </si>
  <si>
    <t>Opravná položka k dlouhodobému hmotnému majetku</t>
  </si>
  <si>
    <t>Opravná položka k dlouhodobému nedokončenému nehmotnému majetku</t>
  </si>
  <si>
    <t>Opravná položka k dlouhodobému nedokončenému hmotnému majetku</t>
  </si>
  <si>
    <t>Opravná položka k poskytnutým zálohám na dlouhodobý majetek</t>
  </si>
  <si>
    <t>Opravná položka k dlouhodobému finančnímu majetku</t>
  </si>
  <si>
    <t>Oceňovací rozdíl k nabytému majetku</t>
  </si>
  <si>
    <t>Oprávky k oceňovacímu rozdílu k nabytému majetku</t>
  </si>
  <si>
    <t>Pořízení materiálu</t>
  </si>
  <si>
    <t>Materiál na skladě</t>
  </si>
  <si>
    <t>Materiál na cestě</t>
  </si>
  <si>
    <t>Nedokončená výroba</t>
  </si>
  <si>
    <t>Polotovary vlastní výroby</t>
  </si>
  <si>
    <t>Výrobky</t>
  </si>
  <si>
    <t>Mladá a ostatní zvířata a jejich skupiny</t>
  </si>
  <si>
    <t>Pořízení zboží</t>
  </si>
  <si>
    <t>Zboží na skladě a v prodejnách</t>
  </si>
  <si>
    <t>Zboží na cestě</t>
  </si>
  <si>
    <t>Poskytnuté zálohy na materiál</t>
  </si>
  <si>
    <t>Poskytnuté zálohy na zvířata</t>
  </si>
  <si>
    <t>Poskytnuté zálohy na zboží</t>
  </si>
  <si>
    <t>Opravná položka k materiálu</t>
  </si>
  <si>
    <t>Opravná položka k nedokončené výrobě</t>
  </si>
  <si>
    <t>Opravná položka k polotovarům vlastní výroby</t>
  </si>
  <si>
    <t>Opravná položka k výrobkům</t>
  </si>
  <si>
    <t>Opravná položka ke zvířatům</t>
  </si>
  <si>
    <t>Opravná položka ke zboží</t>
  </si>
  <si>
    <t>Opravná položka k zálohám na materiál</t>
  </si>
  <si>
    <t>Opravná položka k zálohám na zboží</t>
  </si>
  <si>
    <t>Opravná položka k zálohám na zvířata</t>
  </si>
  <si>
    <t>Peníze</t>
  </si>
  <si>
    <t>Pokladna</t>
  </si>
  <si>
    <t>Ceniny</t>
  </si>
  <si>
    <t>Bankovní účty</t>
  </si>
  <si>
    <t>Eskontní úvěry</t>
  </si>
  <si>
    <t>Emitované krátkodobé dluhopisy</t>
  </si>
  <si>
    <t>Ostatní krátkodobé finanční výpomoci</t>
  </si>
  <si>
    <t>Registrované majetkové cenné papíry k obchodování</t>
  </si>
  <si>
    <t>Vlastní dluhopisy</t>
  </si>
  <si>
    <t>Dluhové cenné papíry se splat. do 1 roku držené do splatnosti</t>
  </si>
  <si>
    <t>Krátkodobý finanční majetek</t>
  </si>
  <si>
    <t>Pořizování krátkodobého finančního majetku</t>
  </si>
  <si>
    <t>Peníze na cestě</t>
  </si>
  <si>
    <t>Opravná položka ke krátkodobému finančnímu majetku</t>
  </si>
  <si>
    <t>typ</t>
  </si>
  <si>
    <t>Pohledávky z obchodních vztahů</t>
  </si>
  <si>
    <t>Směnky k inkasu</t>
  </si>
  <si>
    <t>Pohledávky za eskontované cenné papíry</t>
  </si>
  <si>
    <t>Poskytnuté zálohy - dlouhodobé a krátkodobé</t>
  </si>
  <si>
    <t>Ostatní pohledávky</t>
  </si>
  <si>
    <t>Závazky z obchodních vztahů</t>
  </si>
  <si>
    <t>Směnka k úhradě</t>
  </si>
  <si>
    <t>Přijaté provozní zálohy</t>
  </si>
  <si>
    <t>Zaměstnanci</t>
  </si>
  <si>
    <t>Ostatní závazky vůči zaměstnancům</t>
  </si>
  <si>
    <t>Pohledávky za zaměstnanci</t>
  </si>
  <si>
    <t>Zúčtování s institucemi sociál. zabezpečení a zdravot. pojištění</t>
  </si>
  <si>
    <t>Daň z příjmů</t>
  </si>
  <si>
    <t>Ostatní přímé daně</t>
  </si>
  <si>
    <t>Daň z přidané hodnoty</t>
  </si>
  <si>
    <t>Ostatní daně a poplatky</t>
  </si>
  <si>
    <t>Dotace ze státního rozpočtu</t>
  </si>
  <si>
    <t>Ostatní dotace</t>
  </si>
  <si>
    <t>Vyrovnávací účet pro DPH</t>
  </si>
  <si>
    <t>Pohledávky - ovládající a řídící osoba</t>
  </si>
  <si>
    <t>Pohledávky - podstatný vliv</t>
  </si>
  <si>
    <t>Pohledávky za upsaný základní kapitál</t>
  </si>
  <si>
    <t>Pohledávky za společníky při úhradě ztráty</t>
  </si>
  <si>
    <t>Ostatní pohledávky za společníky a členy družstva</t>
  </si>
  <si>
    <t>Pohledávky za účastníky sdružení</t>
  </si>
  <si>
    <t>Závazky - ovládající a řídící osoba</t>
  </si>
  <si>
    <t>Závazky - podstatný vliv</t>
  </si>
  <si>
    <t>Závazky ke společníkům při rozdělování zisku</t>
  </si>
  <si>
    <t>Ostatní závazky ke společníkům a členům družstva</t>
  </si>
  <si>
    <t>Závazky ke společníkům a členům družstva ze závislé činnosti</t>
  </si>
  <si>
    <t>Závazky z upsaných nesplacených cenných papírů a vkladů</t>
  </si>
  <si>
    <t>Závazky k účastníkům sdružení</t>
  </si>
  <si>
    <t>Pohledávky z prodeje podniku</t>
  </si>
  <si>
    <t>Pohledávky a závazky z pevných termínových operací</t>
  </si>
  <si>
    <t>Pohledávky z pronájmu</t>
  </si>
  <si>
    <t>Pohledávky z emitovaných dluhopisů</t>
  </si>
  <si>
    <t>Nakoupené opce</t>
  </si>
  <si>
    <t>Prodané opce</t>
  </si>
  <si>
    <t>Jiné pohledávky</t>
  </si>
  <si>
    <t>Jiné závazky</t>
  </si>
  <si>
    <t>Náklady příštích období</t>
  </si>
  <si>
    <t>Komplexní náklady příštích období</t>
  </si>
  <si>
    <t>Výdaje příštích období</t>
  </si>
  <si>
    <t>Výnosy příštích období</t>
  </si>
  <si>
    <t>Příjmy příštích období</t>
  </si>
  <si>
    <t>Dohadné účty aktivní</t>
  </si>
  <si>
    <t>Dohadné účty pasivní</t>
  </si>
  <si>
    <t>Opravná položka k pohledávkám</t>
  </si>
  <si>
    <t>Vnitřní zúčtování</t>
  </si>
  <si>
    <t>Spojovací účet při sdružení</t>
  </si>
  <si>
    <t>Základní kapitál</t>
  </si>
  <si>
    <t>Emisní ažio</t>
  </si>
  <si>
    <t>Ostatní kapitálové fondy</t>
  </si>
  <si>
    <t>Oceňovací rozdíly z přecenění majetku a závazků</t>
  </si>
  <si>
    <t>Rozdíly z přeměn společností</t>
  </si>
  <si>
    <t>Oceňovací rozdíly z přecenění při přeměnách společností</t>
  </si>
  <si>
    <t>Změny základního kapitálu</t>
  </si>
  <si>
    <t>Zákonný rezervní fond</t>
  </si>
  <si>
    <t>Nedělitelný fond</t>
  </si>
  <si>
    <t>Statutární fondy</t>
  </si>
  <si>
    <t>Jiný výsledek hospodaření minulých let</t>
  </si>
  <si>
    <t>Ostatní fondy</t>
  </si>
  <si>
    <t>Nerozdělený zisk minulých let</t>
  </si>
  <si>
    <t>Neuhrazená ztráta minulých let</t>
  </si>
  <si>
    <t>Výsledek hospodaření ve schvalovacím řízení</t>
  </si>
  <si>
    <t>Rezervy podle zvláštních právních předpisů</t>
  </si>
  <si>
    <t>Rezerva na důchody a podobné závazky</t>
  </si>
  <si>
    <t>Rezerva na daň z příjmů</t>
  </si>
  <si>
    <t>Ostatní rezervy</t>
  </si>
  <si>
    <t>Dlouhodobé závazky - ovládající a řídící osoba</t>
  </si>
  <si>
    <t>Dlouhodobé závazky - podstatný vliv</t>
  </si>
  <si>
    <t>Emitované dluhopisy</t>
  </si>
  <si>
    <t>Dlouhodobé přijaté zálohy</t>
  </si>
  <si>
    <t>Dlouhodobé směnky k úhradě</t>
  </si>
  <si>
    <t>Jiné dlouhodobé závazky</t>
  </si>
  <si>
    <t>Odložený daňový závazek a pohledávka</t>
  </si>
  <si>
    <t>Účet individuálního podnikatele</t>
  </si>
  <si>
    <t>Spotřeba materiálu</t>
  </si>
  <si>
    <t>Spotřeba energie</t>
  </si>
  <si>
    <t>Spotřeba ostatních neskladovatelných dodávek</t>
  </si>
  <si>
    <t>Prodané zboží</t>
  </si>
  <si>
    <t>Služby</t>
  </si>
  <si>
    <t>Opravy a udržování</t>
  </si>
  <si>
    <t>Cestovné</t>
  </si>
  <si>
    <t>Náklady na reprezentaci</t>
  </si>
  <si>
    <t>Ostatní služby</t>
  </si>
  <si>
    <t>Mzdové náklady</t>
  </si>
  <si>
    <t>Příjmy společníků a členů družstva ze závislé činnosti</t>
  </si>
  <si>
    <t>Odměny členům orgánů společnosti a družstva</t>
  </si>
  <si>
    <t>Zákonné sociální pojištění</t>
  </si>
  <si>
    <t>Ostatní sociální pojištění</t>
  </si>
  <si>
    <t>Sociální náklady individuálního podnikatele</t>
  </si>
  <si>
    <t>Zákonné sociální náklady</t>
  </si>
  <si>
    <t>Ostatní sociální náklady</t>
  </si>
  <si>
    <t>Daně a poplatky</t>
  </si>
  <si>
    <t>Daň silniční</t>
  </si>
  <si>
    <t>Daň z nemovitostí</t>
  </si>
  <si>
    <t>Zůstatková cena prodaného dlouhodobého nehmotného a hmotného majetku</t>
  </si>
  <si>
    <t>Prodaný materiál</t>
  </si>
  <si>
    <t>Dary</t>
  </si>
  <si>
    <t>Smluvní pokuty a úroky z prodlení</t>
  </si>
  <si>
    <t>Ostatní pokuty a penále</t>
  </si>
  <si>
    <t>Odpis pohledávky</t>
  </si>
  <si>
    <t>Ostatní provozní náklady</t>
  </si>
  <si>
    <t>Manka a škody z provozní činnosti</t>
  </si>
  <si>
    <t>Odpisy dlouhodobého nehmotného a hmotného majetku</t>
  </si>
  <si>
    <t>Tvorba a zúčtování rezerv podle zvláštních právních předpisů</t>
  </si>
  <si>
    <t>Tvorba a zúčtování ostatních rezerv</t>
  </si>
  <si>
    <t>Tvorba a zúčtování komplexních nákladů příštích období</t>
  </si>
  <si>
    <t>Zúčtování oprávky k oceňovacímu rozdílu k nabytému majetku</t>
  </si>
  <si>
    <t>Tvorba a zúčtování zákonných opravných položek v provozní činnosti</t>
  </si>
  <si>
    <t>Prodané cenné papíry a podíly</t>
  </si>
  <si>
    <t>Úroky</t>
  </si>
  <si>
    <t>Kurzové ztráty</t>
  </si>
  <si>
    <t>Náklady z přecenění cenných papírů</t>
  </si>
  <si>
    <t>Náklady z finančního majetku</t>
  </si>
  <si>
    <t>Náklady z derivátových operací</t>
  </si>
  <si>
    <t>Ostatní finanční náklady</t>
  </si>
  <si>
    <t>Manka a škody na finančním majetku</t>
  </si>
  <si>
    <t>Tvorba a zúčtování finančních rezerv</t>
  </si>
  <si>
    <t>Tvorba a zúčtování opravných položek ve finanční činnosti</t>
  </si>
  <si>
    <t>Mimořádné náklady</t>
  </si>
  <si>
    <t>Dodatečné odvody daně z příjmů</t>
  </si>
  <si>
    <t>Převod podílu na výsledku hospodaření společníkům</t>
  </si>
  <si>
    <t>Převod provozních nákladů</t>
  </si>
  <si>
    <t>Převod finančních nákladů</t>
  </si>
  <si>
    <t>Tržby za vlastní výrobky</t>
  </si>
  <si>
    <t>Tržby z prodeje služeb</t>
  </si>
  <si>
    <t>Tržby za zboží</t>
  </si>
  <si>
    <t>Změna stavu nedokončené výroby</t>
  </si>
  <si>
    <t>Změna stavu polotovarů vlastní výroby</t>
  </si>
  <si>
    <t>Změna stavu výrobků</t>
  </si>
  <si>
    <t>Změna stavu zvířat</t>
  </si>
  <si>
    <t>Aktivace materiálu a zboží</t>
  </si>
  <si>
    <t>Aktivace vnitropodnikových služeb</t>
  </si>
  <si>
    <t>Aktivace dlouhodobého nehmotného majetku</t>
  </si>
  <si>
    <t>Aktivace dlouhodobého hmotného majetku</t>
  </si>
  <si>
    <t>Tržby z prodeje dlouhodobého nehmotného a hmotného majetku</t>
  </si>
  <si>
    <t>Tržby z prodeje materiálu</t>
  </si>
  <si>
    <t>Výnosy z odepsaných pohledávek</t>
  </si>
  <si>
    <t>Ostatní provozní výnosy</t>
  </si>
  <si>
    <t>Tržby z prodeje cenných papírů a podílů</t>
  </si>
  <si>
    <t>Kursové zisky</t>
  </si>
  <si>
    <t>Výnosy z přecenění cenných papírů</t>
  </si>
  <si>
    <t>Výnosy z dlouhodobého finančního majetku</t>
  </si>
  <si>
    <t>Výnosy z krátkodobého finančního majetku</t>
  </si>
  <si>
    <t>Výnosy z derivátových operací</t>
  </si>
  <si>
    <t>Ostatní finanční výnosy</t>
  </si>
  <si>
    <t>Mimořádné výnosy</t>
  </si>
  <si>
    <t>Převod provozních výnosů</t>
  </si>
  <si>
    <t>Převod finančních výnosů</t>
  </si>
  <si>
    <t>Počáteční účet rozvažný</t>
  </si>
  <si>
    <t>Konečný účet rozvažný</t>
  </si>
  <si>
    <t>Účet zisků a ztrát</t>
  </si>
  <si>
    <t>ucet_synt</t>
  </si>
  <si>
    <t>ucet_synt_nazev</t>
  </si>
  <si>
    <t>Materiál</t>
  </si>
  <si>
    <t>Zboží</t>
  </si>
  <si>
    <t>zustatek</t>
  </si>
  <si>
    <t>ucet_an_nazev</t>
  </si>
  <si>
    <t>datum</t>
  </si>
  <si>
    <t>Poskytnuté zálohy na zásoby</t>
  </si>
  <si>
    <t>Účty v bankách</t>
  </si>
  <si>
    <t>Krátkodobé finanční výpomoci</t>
  </si>
  <si>
    <t>výkaz</t>
  </si>
  <si>
    <t>a1</t>
  </si>
  <si>
    <t>a2</t>
  </si>
  <si>
    <t>a3</t>
  </si>
  <si>
    <t>b</t>
  </si>
  <si>
    <t>c</t>
  </si>
  <si>
    <t>A.</t>
  </si>
  <si>
    <t>B.</t>
  </si>
  <si>
    <t>I.</t>
  </si>
  <si>
    <t>1.</t>
  </si>
  <si>
    <t>2.</t>
  </si>
  <si>
    <t>3.</t>
  </si>
  <si>
    <t>4.</t>
  </si>
  <si>
    <t>5.</t>
  </si>
  <si>
    <t>6.</t>
  </si>
  <si>
    <t>7.</t>
  </si>
  <si>
    <t>8.</t>
  </si>
  <si>
    <t>Nedokončený dlouhodobý nehmotný majetek</t>
  </si>
  <si>
    <t>II.</t>
  </si>
  <si>
    <t>9.</t>
  </si>
  <si>
    <t>Nedokončený dlouhodobý hmotný majetek</t>
  </si>
  <si>
    <t>typ sloupce</t>
  </si>
  <si>
    <t>Brutto</t>
  </si>
  <si>
    <t>III.</t>
  </si>
  <si>
    <t>Korekce</t>
  </si>
  <si>
    <t>řád</t>
  </si>
  <si>
    <t>a</t>
  </si>
  <si>
    <t>Netto</t>
  </si>
  <si>
    <t>Ostatní dlouhodobé cenné papíry a podíly</t>
  </si>
  <si>
    <t>-</t>
  </si>
  <si>
    <t>*</t>
  </si>
  <si>
    <t>zaokr</t>
  </si>
  <si>
    <t>C.</t>
  </si>
  <si>
    <t>Nedokončená výroba a polotovary</t>
  </si>
  <si>
    <t>Pohledávky - ovládaná nebo ovládající osoba</t>
  </si>
  <si>
    <t>Dlouhodobé poskytnuté zálohy</t>
  </si>
  <si>
    <t>Odložená daňová pohledávka</t>
  </si>
  <si>
    <t>Sociální zabezpečení a zdravotní pojištění</t>
  </si>
  <si>
    <t>Stát - daňové pohledávky</t>
  </si>
  <si>
    <t>Krátkodobé poskytnuté zálohy</t>
  </si>
  <si>
    <t>IV.</t>
  </si>
  <si>
    <t>D.</t>
  </si>
  <si>
    <t xml:space="preserve">Náklady příštích období </t>
  </si>
  <si>
    <t>a řád</t>
  </si>
  <si>
    <t>a název</t>
  </si>
  <si>
    <t>p název</t>
  </si>
  <si>
    <t>A</t>
  </si>
  <si>
    <t>Statutární a ostatní fondy</t>
  </si>
  <si>
    <t>V.</t>
  </si>
  <si>
    <t>Závazky - ovládaná nebo ovládající osoba</t>
  </si>
  <si>
    <t>Vydané dluhopisy</t>
  </si>
  <si>
    <t>Dohadné účty pasívní</t>
  </si>
  <si>
    <t>Odložený daňový závazek</t>
  </si>
  <si>
    <t>IČ:</t>
  </si>
  <si>
    <t>ZÁKLADNÍ ÚDAJE:</t>
  </si>
  <si>
    <t>cz název</t>
  </si>
  <si>
    <t>en název</t>
  </si>
  <si>
    <t>de název</t>
  </si>
  <si>
    <t>P</t>
  </si>
  <si>
    <t>Závazky k zaměstnancům</t>
  </si>
  <si>
    <t>Závazky ze sociálního zabezpečení a zdravotního pojištění</t>
  </si>
  <si>
    <t>Stát - daňové závazky a dotace</t>
  </si>
  <si>
    <t xml:space="preserve">Dohadné účty pasivní </t>
  </si>
  <si>
    <t xml:space="preserve">Výnosy příštích období </t>
  </si>
  <si>
    <t>alt řád</t>
  </si>
  <si>
    <t>alt 1</t>
  </si>
  <si>
    <t>alt 2</t>
  </si>
  <si>
    <t>alt 3</t>
  </si>
  <si>
    <t>řádek výkazu</t>
  </si>
  <si>
    <t>Oceňovací rozdíly z přecenění při přeměnách</t>
  </si>
  <si>
    <t>část</t>
  </si>
  <si>
    <t>N</t>
  </si>
  <si>
    <t xml:space="preserve">Tržby za prodej zboží </t>
  </si>
  <si>
    <t>Náklady vynaložené na prodané zboží</t>
  </si>
  <si>
    <t>Spotřeba materiálu a energie</t>
  </si>
  <si>
    <t>Náklady na sociální zabezpečení a zdravotní pojištění</t>
  </si>
  <si>
    <t>Zůstatková cena prodaného dlouhodobého majetku</t>
  </si>
  <si>
    <t>+</t>
  </si>
  <si>
    <t>E.</t>
  </si>
  <si>
    <t>F.</t>
  </si>
  <si>
    <t>G.</t>
  </si>
  <si>
    <t>H.</t>
  </si>
  <si>
    <t>ucet</t>
  </si>
  <si>
    <t>uc_synt</t>
  </si>
  <si>
    <t>A/P a</t>
  </si>
  <si>
    <t>A/P s</t>
  </si>
  <si>
    <t xml:space="preserve">N </t>
  </si>
  <si>
    <t xml:space="preserve">V </t>
  </si>
  <si>
    <t>Z</t>
  </si>
  <si>
    <t>Výnosy z dlouhodobého finančního majetku (ř. 34 + 35 + 36)</t>
  </si>
  <si>
    <t>Výnosy z ostatního dlouhodobého finančního majetku</t>
  </si>
  <si>
    <t>Výnosové úroky</t>
  </si>
  <si>
    <t>Nákladové úroky</t>
  </si>
  <si>
    <t>Daň z příjmů za běžnou činnost   (ř. 50 + 51)</t>
  </si>
  <si>
    <t>VI.</t>
  </si>
  <si>
    <t>J.</t>
  </si>
  <si>
    <t>VII.</t>
  </si>
  <si>
    <t>K.</t>
  </si>
  <si>
    <t>L.</t>
  </si>
  <si>
    <t>M.</t>
  </si>
  <si>
    <t>P.</t>
  </si>
  <si>
    <t>R.</t>
  </si>
  <si>
    <t>V1</t>
  </si>
  <si>
    <t>**</t>
  </si>
  <si>
    <t>***</t>
  </si>
  <si>
    <t>zokrouhleno</t>
  </si>
  <si>
    <t>aktiva</t>
  </si>
  <si>
    <t>pasiva</t>
  </si>
  <si>
    <t>hv ve vzz</t>
  </si>
  <si>
    <t>hv v pasivech</t>
  </si>
  <si>
    <t>Název účetní jednotky:</t>
  </si>
  <si>
    <t>Účetní období pro výkazy:</t>
  </si>
  <si>
    <t>Běžné</t>
  </si>
  <si>
    <t>Minulé</t>
  </si>
  <si>
    <t>část a2</t>
  </si>
  <si>
    <t>řád + řádek</t>
  </si>
  <si>
    <t>běž</t>
  </si>
  <si>
    <t>min</t>
  </si>
  <si>
    <t>Rozvaha</t>
  </si>
  <si>
    <t>Ausstehende Einlagen auf das gezeichnete Kapital</t>
  </si>
  <si>
    <t>Immaterielle Ergebnisse der Forschung und Entwicklung</t>
  </si>
  <si>
    <t>Bewertbare Rechte</t>
  </si>
  <si>
    <t>Sonstige immaterielle Vermögensgegenstände</t>
  </si>
  <si>
    <t>Unfertige immaterielle Vermögensgegenstände</t>
  </si>
  <si>
    <t>Geleistete Anzahlungen auf immaterielle Vermögensgegenstände</t>
  </si>
  <si>
    <t>Grundstücke</t>
  </si>
  <si>
    <t>Bauten</t>
  </si>
  <si>
    <t>Bewegliches Sachanlagevermögen</t>
  </si>
  <si>
    <t>Kulturland</t>
  </si>
  <si>
    <t>Erwachsene Tiere und ihre Gruppen</t>
  </si>
  <si>
    <t>Sonstige Sachanlagen</t>
  </si>
  <si>
    <t>Sachanlagen im Bau</t>
  </si>
  <si>
    <t>Geleistete Anzahlungen auf Sachanlagen</t>
  </si>
  <si>
    <t>Bewertungsunterschied zum erworbenen Vermögen</t>
  </si>
  <si>
    <t>Anteile und Beteiligungen an verbundenen Unternehmen</t>
  </si>
  <si>
    <t>Anteile und Beteiligungen an Unternehmen, mit denen ein Beteiligungsverhältnis besteht</t>
  </si>
  <si>
    <t>Sonstige langfristige Wertpapiere und Beteiligungen</t>
  </si>
  <si>
    <t>Geleistete Anzahlungen auf Finanzanlagen</t>
  </si>
  <si>
    <t>Material</t>
  </si>
  <si>
    <t>Unfertige Erzeugnisse und Halbfabrikate</t>
  </si>
  <si>
    <t>Junge und sonstige Tiere und ihre Gruppen</t>
  </si>
  <si>
    <t>Waren</t>
  </si>
  <si>
    <t>Geleistete Anzahlungen auf Vorräte</t>
  </si>
  <si>
    <t>Forderungen aus Lieferungen und Leistungen</t>
  </si>
  <si>
    <t>Forderungen gegen verbundene Unternehmen</t>
  </si>
  <si>
    <t>Forderungen gegen Unternehmen, mit denen ein Beteiligungsverhältnis besteht</t>
  </si>
  <si>
    <t>Langfristige geleistete Anzahlungen</t>
  </si>
  <si>
    <t>Geschätzte Aktivposten</t>
  </si>
  <si>
    <t>Latente Steuerforderung</t>
  </si>
  <si>
    <t>Sozial- und Krankenversicherung</t>
  </si>
  <si>
    <t>Steuerforderungen</t>
  </si>
  <si>
    <t>Kurzfristige geleistete Anzahlungen</t>
  </si>
  <si>
    <t>Aufwendungen künftiger Perioden</t>
  </si>
  <si>
    <t>Komplexe Aufwendungen künftiger Perioden</t>
  </si>
  <si>
    <t>Einnahmen künftiger Perioden</t>
  </si>
  <si>
    <t>Gezeichnetes Kapital</t>
  </si>
  <si>
    <t>Änderung des gezeichneten Kapitals</t>
  </si>
  <si>
    <t>Sonstige Kapitalrücklagen</t>
  </si>
  <si>
    <t>Satzungsmäßige und sonstige Rücklagen</t>
  </si>
  <si>
    <t>Gewinnvortrag</t>
  </si>
  <si>
    <t>Rückstellung für die Einkommensteuer</t>
  </si>
  <si>
    <t>Sonstige Rückstellungen</t>
  </si>
  <si>
    <t>Verbindlichkeiten aus Lieferungen und Leistungen</t>
  </si>
  <si>
    <t>Verbindlichkeiten gegenüber verbundenen Unternehmen</t>
  </si>
  <si>
    <t>Verbindlichkeiten gegenüber Unternehmen, mit denen ein Beteiligungsverhältnis besteht</t>
  </si>
  <si>
    <t>Langfristige erhaltene Anzahlungen</t>
  </si>
  <si>
    <t>Ausgegebene Schuldverschreibungen</t>
  </si>
  <si>
    <t>Langfristige Wechselverbindlichkeiten</t>
  </si>
  <si>
    <t>Geschätzte Passivposten</t>
  </si>
  <si>
    <t>Sonstige Verbindlichkeiten</t>
  </si>
  <si>
    <t>Latente Steuerverbindlichkeit</t>
  </si>
  <si>
    <t>Verbindlichkeiten gegenüber Mitarbeitern</t>
  </si>
  <si>
    <t>Verbindlichkeiten aus der Sozial- und Krankenversicherung</t>
  </si>
  <si>
    <t>Steuerverbindlichkeiten und staatliche Zuschüsse</t>
  </si>
  <si>
    <t>Kurzfristige erhaltene Anzahlungen</t>
  </si>
  <si>
    <t>Ausgaben künftiger Perioden</t>
  </si>
  <si>
    <t>Erträge künftiger Perioden</t>
  </si>
  <si>
    <t>Receivables for subscribed registered capital</t>
  </si>
  <si>
    <t>Research and development</t>
  </si>
  <si>
    <t>Intellectual property rights</t>
  </si>
  <si>
    <t>Other intangible fixed assets</t>
  </si>
  <si>
    <t>Intangible fixed assets under construction</t>
  </si>
  <si>
    <t>Advance payments for intangible fixed assets</t>
  </si>
  <si>
    <t>Land</t>
  </si>
  <si>
    <t>Buildings</t>
  </si>
  <si>
    <t>Plant and equipment</t>
  </si>
  <si>
    <t>Cultivated areas</t>
  </si>
  <si>
    <t>Adult livestock</t>
  </si>
  <si>
    <t>Other tangible fixed assets</t>
  </si>
  <si>
    <t>Tangible fixed assets under construction</t>
  </si>
  <si>
    <t>Advance payments for tangible fixed assets</t>
  </si>
  <si>
    <t>Adjustments to acquired fixed assets</t>
  </si>
  <si>
    <t>Investments in group undertakings</t>
  </si>
  <si>
    <t xml:space="preserve">Investments in associated companies </t>
  </si>
  <si>
    <t>Other long-term securities and ownership interests</t>
  </si>
  <si>
    <t>Advance payments for long-term investments</t>
  </si>
  <si>
    <t>Raw materials</t>
  </si>
  <si>
    <t>Work-in-progress and semi-finished products</t>
  </si>
  <si>
    <t>Young and other livestock</t>
  </si>
  <si>
    <t>Goods for resale</t>
  </si>
  <si>
    <t>Advance payments for inventories</t>
  </si>
  <si>
    <t>Trade receivables</t>
  </si>
  <si>
    <t>Receivables - group undertakings</t>
  </si>
  <si>
    <t xml:space="preserve">Receivables - associated companies </t>
  </si>
  <si>
    <t>Long-term advances paid</t>
  </si>
  <si>
    <t>Estimated receivables</t>
  </si>
  <si>
    <t>Deferred tax asset</t>
  </si>
  <si>
    <t>Social security and health insurance</t>
  </si>
  <si>
    <t>Tax receivables</t>
  </si>
  <si>
    <t>Short-term advances paid</t>
  </si>
  <si>
    <t>Cash</t>
  </si>
  <si>
    <t>Bank accounts</t>
  </si>
  <si>
    <t>Prepaid expenses</t>
  </si>
  <si>
    <t>Complex prepaid expenses</t>
  </si>
  <si>
    <t>Accrued revenues</t>
  </si>
  <si>
    <t>Registered capital</t>
  </si>
  <si>
    <t>Changes in registered capital</t>
  </si>
  <si>
    <t>Share premium</t>
  </si>
  <si>
    <t>Other capital contributions</t>
  </si>
  <si>
    <t>Revaluation of assets and liabilities</t>
  </si>
  <si>
    <t>Revaluation reserve on transformations</t>
  </si>
  <si>
    <t>Differences resulting from transformations</t>
  </si>
  <si>
    <t>Change in revaluation reserve on transformations</t>
  </si>
  <si>
    <t>Statutory and other funds</t>
  </si>
  <si>
    <t>Retained profits</t>
  </si>
  <si>
    <t>Other retained earnings</t>
  </si>
  <si>
    <t>Tax-deductible provisions</t>
  </si>
  <si>
    <t>Provision for pensions and other similar payables</t>
  </si>
  <si>
    <t>Income tax provision</t>
  </si>
  <si>
    <t>Other provisions</t>
  </si>
  <si>
    <t>Trade payables</t>
  </si>
  <si>
    <t>Liabilities - group undertakings</t>
  </si>
  <si>
    <t>Liabilities - associated companies</t>
  </si>
  <si>
    <t>Long-term advances received</t>
  </si>
  <si>
    <t>Debentures and bonds issued</t>
  </si>
  <si>
    <t>Long-term bills of exchange payable</t>
  </si>
  <si>
    <t>Estimated payables</t>
  </si>
  <si>
    <t>Other payables</t>
  </si>
  <si>
    <t>Deferred tax liability</t>
  </si>
  <si>
    <t>Payables to employees</t>
  </si>
  <si>
    <t>Payables to social security and health insurance</t>
  </si>
  <si>
    <t>Tax liabilities and subsidies</t>
  </si>
  <si>
    <t>Short-term advances received</t>
  </si>
  <si>
    <t>Short-term financial liabilities</t>
  </si>
  <si>
    <t>Accrued expenses</t>
  </si>
  <si>
    <t>Deferred revenues</t>
  </si>
  <si>
    <t>Cost of goods sold</t>
  </si>
  <si>
    <t>Materials and consumables</t>
  </si>
  <si>
    <t>Services</t>
  </si>
  <si>
    <t>Wages and salaries</t>
  </si>
  <si>
    <t>Social security and health insurance expenses</t>
  </si>
  <si>
    <t>Taxes and charges</t>
  </si>
  <si>
    <t>Proceeds from disposals of fixed assets</t>
  </si>
  <si>
    <t>Proceeds from disposals of raw material</t>
  </si>
  <si>
    <t>Other operating revenues</t>
  </si>
  <si>
    <t>Other operating expenses</t>
  </si>
  <si>
    <t>Securities and ownership interests sold</t>
  </si>
  <si>
    <t>Other financial revenues</t>
  </si>
  <si>
    <t>Other financial expenses</t>
  </si>
  <si>
    <t>Aufwendungen für verkaufte Ware</t>
  </si>
  <si>
    <t>Umsatzerlöse aus dem Verkauf eigener Erzeugnisse und Dienstleistungen</t>
  </si>
  <si>
    <t>Material- und Energieverbrauch</t>
  </si>
  <si>
    <t>Bezogene Dienstleistungen</t>
  </si>
  <si>
    <t>Löhne und Gehälter</t>
  </si>
  <si>
    <t>Aufwendungen für die Sozial- und Krankenversicherung</t>
  </si>
  <si>
    <t>Steuern und Gebühren</t>
  </si>
  <si>
    <t xml:space="preserve">Erträge aus dem Verkauf von Gegenständen des Anlagevermögens </t>
  </si>
  <si>
    <t>Erträge aus dem Materialverkauf</t>
  </si>
  <si>
    <t>Restbuchwert der verkauften Gegenstände des Anlagevermögens</t>
  </si>
  <si>
    <t>Sonstige betriebliche Erträge</t>
  </si>
  <si>
    <t>Sonstige betriebliche Aufwendungen</t>
  </si>
  <si>
    <t>Sonstige Finanzerträge</t>
  </si>
  <si>
    <t>Sonstige Finanzaufwendungen</t>
  </si>
  <si>
    <t>v celých Kč</t>
  </si>
  <si>
    <t>v celých tisících Kč</t>
  </si>
  <si>
    <t>in thousands of Czech crowns</t>
  </si>
  <si>
    <t>in Czech crowns</t>
  </si>
  <si>
    <t>Werte in TCZK</t>
  </si>
  <si>
    <t>Werte in CZK</t>
  </si>
  <si>
    <t>Výsledovka</t>
  </si>
  <si>
    <t>Náklady</t>
  </si>
  <si>
    <t>část Výnosy</t>
  </si>
  <si>
    <t>Výnosy</t>
  </si>
  <si>
    <t>Aktiva</t>
  </si>
  <si>
    <t>Pasiva</t>
  </si>
  <si>
    <t>řádek v jazyku výkazu výkazu</t>
  </si>
  <si>
    <t>id_1</t>
  </si>
  <si>
    <t>id_2</t>
  </si>
  <si>
    <t>id_skupina</t>
  </si>
  <si>
    <t>id_3</t>
  </si>
  <si>
    <t>pocatecni zust</t>
  </si>
  <si>
    <t>obrat MD</t>
  </si>
  <si>
    <t>obrat D</t>
  </si>
  <si>
    <t>ř_auto</t>
  </si>
  <si>
    <t>ř_A/P a</t>
  </si>
  <si>
    <t>ř_A/P s</t>
  </si>
  <si>
    <t>ř_ručně</t>
  </si>
  <si>
    <t>ř_final</t>
  </si>
  <si>
    <t>ř_číslo_popis</t>
  </si>
  <si>
    <t>uc_synt_popis</t>
  </si>
  <si>
    <t>ucet_an_cislo_popis</t>
  </si>
  <si>
    <t>zdroj</t>
  </si>
  <si>
    <t>JAK VLOŽIT DATA A VYTVOŘIT VÝKAZY</t>
  </si>
  <si>
    <t>Tento soubor umožňuje sestavit základní finanční výkazy, tedy Rozvahu a Výkaz zisku a ztráty, podle českých účetních standardů. Postup se skládá z následujících kroků:</t>
  </si>
  <si>
    <t>1. Vyplnění základní identifikačních údajů účetní jednotky.</t>
  </si>
  <si>
    <t>2. Vložení obratové předvahy za vybraná období.</t>
  </si>
  <si>
    <t>3. Doplnění nestandardních úprav a tzv. reklasifikací.</t>
  </si>
  <si>
    <t>4. Ruční přiřazení vybraných účtů do řádků účetních výkazů.</t>
  </si>
  <si>
    <t>5. Kontrola a úprava zaokrouhlení.</t>
  </si>
  <si>
    <t>Následuje detailní postup k jednotlivým krokům.</t>
  </si>
  <si>
    <t>list "INDEX"</t>
  </si>
  <si>
    <t>a) v listu "INDEX" je potřeba nejprve zadat základní identifikační údaje účetní jednotky, jako název, adresu a IČ.</t>
  </si>
  <si>
    <t>c) dále se vyplňuje počet pozic v číslech účtů, které budou nataženy ve formě obratové předvahy</t>
  </si>
  <si>
    <t>např. pokud jsou účty ve tvaru 321100, mají 6 pozic, zadá se tedy 6; pokud mají účty tvar 3211, mají 4 pozice, zadá se tedy 4, atd.</t>
  </si>
  <si>
    <t>d) vyberte jednotku výkazu</t>
  </si>
  <si>
    <t>Jednotka výkazu:</t>
  </si>
  <si>
    <t>Jazyk výkazu:</t>
  </si>
  <si>
    <t>list "DATA"</t>
  </si>
  <si>
    <t>POZOR: po nakopírování musí záhlaví sloupců v řádku 1 přesně odpovídat jejich obsahu!</t>
  </si>
  <si>
    <t>Pokud tomu tak není, vraťte nakopírování zpět, upravte pořadí sloupců a nakopírujte znovu</t>
  </si>
  <si>
    <t>c) pokud provedete správně vložení (nakopírování) obratové předvahy do sloupců C až I, dojde k automatickému vyplnění vzorců ve sloupcích K až Y</t>
  </si>
  <si>
    <t>Jakoukoliv dodatečnou úpravu či reklasifikaci proveďte následujícím způsobem:</t>
  </si>
  <si>
    <t>a) úpravu či reklasifikaci vložte jako nové řádky do listu "DATA" (sloupce C až I, popř. zadejte ručně řádek výkazu do sloupce R)</t>
  </si>
  <si>
    <t>b) po vložení by mělo dojít k automatickému rozkopírování vzorců z předchozích řádků</t>
  </si>
  <si>
    <t>c) pro odlišení těchto ručních úprav od importovaných řádků doporučujeme do sloupce B zadat např. "reclass", "adjust" atd.</t>
  </si>
  <si>
    <t>d) do sloupce E pak doporučujeme pro snadnější orientaci zadata místo názvu účtu podrobnější popis nebo poznámku</t>
  </si>
  <si>
    <t>POZOR: nezapomeňte, že většina těchto ručních úprav má podvojný charakter, je tedy potřeba zadat je ve dvou řádcích - jednou s kladnou a jednou se zápornou hodnotou</t>
  </si>
  <si>
    <t>Posledním krokem ke správnému sestavení výkazů je ruční přiřazení některých účtů do řádků účetních výkazů. Toto ruční přiřazení může být relevantní v následujících situacích:</t>
  </si>
  <si>
    <t>a) přiřazení některých účtů do řádků výkazů jednoznačně nevyplývá ani z legislativních předpisů (např. účty 391x OP k pohledávkám může mít krátkodobý nebo dlouhodobý charakter)</t>
  </si>
  <si>
    <t>Poznámka: Jsme si vědomi, že sebelépe napsaný návod někdy nestačí a případné problémy je potřeba prodiskutovat osobně nebo alespoň telefonicky. Pokud se náhodou během práce se souborem vyskytnete ve slepé uličce, nebojte se zavolat či napsat e-mail. Určitě se pokusíme problém společně vyřešit.</t>
  </si>
  <si>
    <t>V některých případech musíme provést dodatečné úpravy nad rámec aktuální obratové předvahy, popř. provést tzv. reklasifikace, tedy převést určité částky z aktuálního účtu na nějaký jiný.</t>
  </si>
  <si>
    <t>I na tyto případy je pamatováno.</t>
  </si>
  <si>
    <t>b) takto připravenou tabulku nakopírujte od druhého řádku sloupců C až I (tzn. záhlaví ponechte původní)</t>
  </si>
  <si>
    <t xml:space="preserve"> - ruční zadání čísel řádků je potřeba zadat pro každé účetní období zvlášť pro případ, že by se povaha účtu v čase měnila</t>
  </si>
  <si>
    <t>řešení:</t>
  </si>
  <si>
    <t xml:space="preserve"> - tyto účty nejsou nijak označeny, soubor totiž nepozná, že obsah účtu je jiný, než předpokládají předpisy</t>
  </si>
  <si>
    <t xml:space="preserve"> - ruční zadání má přednost před automatickým vyplněním a účet tedy bude v rámci výkazů zahrnut do ručně vyplněného řádku</t>
  </si>
  <si>
    <t xml:space="preserve"> - nicméně pokud takové účty máte, stačí v listu "DATA" do sloupce R ručně napsat čísla řádků výkazů, která jsou pro daný účet relevantní</t>
  </si>
  <si>
    <t>Pokud jste správně provedli předchozí kroky, měli byste mít nyní k dispozici na listech "AKTIVA", "PASIVA" a "VÝKAZ ZZ" první verzi výkazů.</t>
  </si>
  <si>
    <t>Zbývá tedy provést už jen závěrečnou kontrolu a případně doladit zaokrouhlení.</t>
  </si>
  <si>
    <t>Nejprve si ověřte pohledem do listu INDEX - sekce Kontroly, zda jsou základní kontrolní vazby (A=P, HV ve výsledovce = HV v rozvaze) správně či nikoliv.</t>
  </si>
  <si>
    <t>Pokud jsou rozdílové řádky nulové a zelené, vše je v pořádku a Vy máte hotovo. Pokud ne, je potřeba zaokrouhlení ručně upravit, a to následujícím způsobem:</t>
  </si>
  <si>
    <t>a) v každém z listů AKTIVA, PASIVA a VÝKAZ ZZ jsou v pravém horním rohu umístěny buňky, indikující o kolik zaokrouhlení nesedí ("běž" znamená běžné, "min" minulé účetní období")</t>
  </si>
  <si>
    <t xml:space="preserve">Čím vyšší jednotku zaokrouhlení jste zvolili, tím větší je pravděpodobnost, že se výkazy vlivem zaokrouhlení někde tzv. rozjedou. To znamená, že např. nemusí sedět aktiva na pasiva. </t>
  </si>
  <si>
    <t>Jak z toho ven?</t>
  </si>
  <si>
    <t>b) jedná se řádově o jednotky; pokud je rozdíl např. 2, je potřeba o tuto částku ručně upravit některý z řádků příslušného výkazu</t>
  </si>
  <si>
    <t>d) částku není nutné zadávat najednou, je možné ji rozdělit např. na 1 a 1, které zadáte do dvou řádků</t>
  </si>
  <si>
    <t>e) správné ošetření zaokrouhlení pak indikují zelené prázdné buňky</t>
  </si>
  <si>
    <t>šedé buňky pak udávají, jaké zaokrouhlení bylo použito</t>
  </si>
  <si>
    <t>c) částku tedy zadejte do modrých buněk do sloupců vpravo od výkazů - do toho řádku, do kterého chcete zaokrouhlení "schovat"</t>
  </si>
  <si>
    <t>Součet z zokrouhleno</t>
  </si>
  <si>
    <t>A. Provozní hospodářský výsledek</t>
  </si>
  <si>
    <t>počet účtů bez klasifikace</t>
  </si>
  <si>
    <t>počet účtů bez přiřazení řádku výkazu</t>
  </si>
  <si>
    <t>Kontrola přiřazení účtů:</t>
  </si>
  <si>
    <t>Kontrolní součty:</t>
  </si>
  <si>
    <t>b) je potřeba vyplnit datum, ke kterému se výkazy sestavují, a to za běžné i minulé období. Do listu "DATA" je možné doplnit údaje i za více období a vyhotovovat např. výkazy čtvrtletní, měsíční atd.</t>
  </si>
  <si>
    <t>POZOR: všechny účty v rámci obratové předvahy musí mít stejný počet pozic, s výjimkou účtů třídy 0, které mohou mít počet pozic snížený o jedničku (mohou být bez nuly na začátku)!</t>
  </si>
  <si>
    <t>POZOR: v případě, že změníte jednotku vykazování poté, co již máte upraveno zaokrouhlování, bude pravděpodobně nutné zaokrouhlování v jednotlivývh výkazech znovu upravit</t>
  </si>
  <si>
    <t>Poznámka 2: konečné zůstatky MD musí být zadány jako kladné, zůstatky na straně D pak jako záporné. Suma hodnot zadaných ve sloupci "zůstatek" by měla být 0.</t>
  </si>
  <si>
    <t xml:space="preserve">a) z vašeho účetního softwaru si vyexportujte soubor s obratovou předvahou za běžné a za minulé období  a obě předvahy (popř. i libovolný počet předvah k různým závěrkovým datům) </t>
  </si>
  <si>
    <t xml:space="preserve">si upravte tak, aby je bylo možno nakopírovat pod sebe do listu "DATA" v následujícím tvaru: </t>
  </si>
  <si>
    <t>7. sloupec (povinný) = konečný zůstatek</t>
  </si>
  <si>
    <t xml:space="preserve">5.-6. sloupce (nepovinné) = obraty MD a D, </t>
  </si>
  <si>
    <t xml:space="preserve">4. sloupec (nepovinný) = poč.zůst., </t>
  </si>
  <si>
    <t xml:space="preserve">3. sloupec "název účtu" (nepovinný); </t>
  </si>
  <si>
    <t xml:space="preserve">2. sloupec "ucet" (povinný) = číslo účtu; </t>
  </si>
  <si>
    <t>1. sloupec "datum" (povinný) =zde udejte ke každému zůstatku účtu, k jakému závěrkovému dni se vztahuje (tj. obratová předvaha k 31.12.2013 bude mít u každého účtu uveden datum 31.12.2013 a pod ní nakopírovaná obratová předvaha k 31.12.2012 bude mít u každého účtu datum 31.12.2012;</t>
  </si>
  <si>
    <t xml:space="preserve"> - vyfiltrujte si v listu "DATA" ve sloupci O řádky, ve kterých se vyskytuje slovo "doplnit" a do sloupce R pak ručně vypište správná čísla řádků výkazů </t>
  </si>
  <si>
    <t xml:space="preserve">b) účet sice má legislativou jednoznačně přiřazený řádek výkazů, ale věcná podstata účtu tomu neodpovídá </t>
  </si>
  <si>
    <t>(např. na účtu 315 jsou zaúčtovány případy, které svou povahou spadají do řádku "Jiné pohledávky", namísto automaticky přiřazeného řádku "Pohledávky z obchodních vztahů")</t>
  </si>
  <si>
    <t xml:space="preserve">c) účet není obsažen ve směrné účtové osnově - např. účetní jednotka používá účet 334, 348, interní účty 999 atd. </t>
  </si>
  <si>
    <t>Kontrola úplnosti přiřazení účtů:</t>
  </si>
  <si>
    <t xml:space="preserve"> - v listu "INDEX" v části Kontrola přiřazení účtů ověřte, zda je počet nezařazených záznamů = "žádný - OK"</t>
  </si>
  <si>
    <t xml:space="preserve"> - pokud ne, najdete zde počet nepřiřazených účtů a jejich barevné označení, pod kterým účty najdete v listu "DATA"</t>
  </si>
  <si>
    <t>ve sloupci R - viz obrázek</t>
  </si>
  <si>
    <t>Zaokrouhlení:</t>
  </si>
  <si>
    <t xml:space="preserve"> - modře označené jsou řádky s účty, jejichž přiřazení není jednoznačené a je nutné je přiřadit do řádků výkazů ručně - pro opravu tohoto stavu prosím postupujte podle bodu 4 tohoto návodu.</t>
  </si>
  <si>
    <t>(prázdné)</t>
  </si>
  <si>
    <t xml:space="preserve">Poznámka 1: pokud nezadáte data do nepovinných sloupců, musí zůstat prázdné. </t>
  </si>
  <si>
    <t xml:space="preserve"> - vyfiltrujte si v listu "DATA" ve sloupci O řádky, ve kterých se vyskytuje spojení "účet n/a" a ve sloupci D nahraďte toto nestandardní číslo účtu jiným číslem účtu, které je součástí směrné </t>
  </si>
  <si>
    <t xml:space="preserve">účtové osnovy a jeho povaha nejlépe odpovídá obsahu zůstatku daného účtu </t>
  </si>
  <si>
    <t>Tip 1: pokud budete chtít později zjistit, jaké účty mají ručně (tedy nikoliv automaticky) přiřazený řádek výkazů, stačí si sloupec R vyfiltrovat podle modré barvy (v Excel 2010 a výše).</t>
  </si>
  <si>
    <t xml:space="preserve">Tip 2: pokud budete potřebovat získat ucelený přehled přiřazení účtů do jednotlivých řádků výkazů, můžete využít list "pivot". Klikněte pravým tlačítkem na tabulku a vyberte "Obnovit", </t>
  </si>
  <si>
    <t xml:space="preserve">aby se do tabulky načetla aktuální data. </t>
  </si>
  <si>
    <t xml:space="preserve"> - červeně označené jsou řádky s účty, pro které systém nenalezl ekvivalent ve směrné účtové osnově - u těchto účtů nahraďte toto nestandardní číslo účtu jiným číslem účtu, které je součástí </t>
  </si>
  <si>
    <t xml:space="preserve">   směrné účtové osnovy a jeho povaha nejlépe odpovídá obsahu zůstatku daného účtu.</t>
  </si>
  <si>
    <t>© www.cbaudit.cz</t>
  </si>
  <si>
    <t>e) vyberte jazyk výkazu; výkazy mohou být sestaveny v češtině, němčině a angličtině. Verze přístupná volně ke stažení na našich internetových stránkách možnost volby jazyka neumožňuje. Pokud potřebujete sestavit výkazy v němčině nebo angličtině, kontaktujte nás.</t>
  </si>
  <si>
    <t>Total</t>
  </si>
  <si>
    <t>Pohledávky za společníky</t>
  </si>
  <si>
    <t>Receivables from shareholders</t>
  </si>
  <si>
    <t>Forderungen gegen Gesellschafter</t>
  </si>
  <si>
    <t>Ážio</t>
  </si>
  <si>
    <t>Závazky ke společníkům</t>
  </si>
  <si>
    <t>Liabilities to shareholders</t>
  </si>
  <si>
    <t>Verbindlichkeiten gegenüber Gesellschaftern</t>
  </si>
  <si>
    <t>Advances on profit-sharing payments (-)</t>
  </si>
  <si>
    <t>Vorschüsse auf Gewinnbeteiligung (-)</t>
  </si>
  <si>
    <t>Zálohy na podíly ze zisku</t>
  </si>
  <si>
    <t>A.1. Úpravy o nepeněžní operace</t>
  </si>
  <si>
    <t xml:space="preserve">  A.1.3. Zisk(-) ztráta(+) z prodeje stálých aktiv</t>
  </si>
  <si>
    <t xml:space="preserve">  A.1.5. Výnosy z dividend a podílů na zisku</t>
  </si>
  <si>
    <t xml:space="preserve">  A.1.6. Vyúčtované nákladové a výnosové úroky, s výjimkou kapitalizovaných úroků</t>
  </si>
  <si>
    <t xml:space="preserve">  A.1.7. Případné úpravy o ostatní nepeněžní operace</t>
  </si>
  <si>
    <t>A.2. Změna potřeby pracovního kapitálu</t>
  </si>
  <si>
    <t xml:space="preserve">  A.2.2. Změna stavu krátkodobých závazků z provozní činnosti a přechodných účtů pasiv</t>
  </si>
  <si>
    <t xml:space="preserve">  A.2.3. Změna stavu zásob </t>
  </si>
  <si>
    <t xml:space="preserve">  A.2.4. Změna stavu finančního majetku, který není zahrnut do peněžních prostředků</t>
  </si>
  <si>
    <t>A.** Čistý peněžní tok z provozní činnosti před zdaněním a mimořádnými položkami</t>
  </si>
  <si>
    <t>A.3. Vyplacené úroky s výjimkou kapitalizovaných úroků</t>
  </si>
  <si>
    <t>A.4. Přijaté úroky</t>
  </si>
  <si>
    <t>A.6. Příjmy a výdaje spojené s mimořádnými účetními případy</t>
  </si>
  <si>
    <t>A.*** Čistý peněžní tok z provozní činnosti</t>
  </si>
  <si>
    <t>B.2. Příjmy z prodeje stálých aktiv</t>
  </si>
  <si>
    <t>B.3. Půjčky a úvěry spřízněným osobám</t>
  </si>
  <si>
    <t>B.*** Čistý peněžní tok vztahující se k investiční činnosti</t>
  </si>
  <si>
    <t>C.1. Změna stavu dlouhodobých, popř. krátkodobých závazků z finanční oblasti</t>
  </si>
  <si>
    <t>C.2. Dopady změn vlastního kapitálu na peněžní prostředky</t>
  </si>
  <si>
    <t>C.*** Čistý peněžní tok vztahující se k finanční činnosti</t>
  </si>
  <si>
    <t>F. Čisté zvýšení nebo snížení peněžních prostředků</t>
  </si>
  <si>
    <t>R. Stav peněžních prostředků a peněžních ekvivalentů na konci účetního období</t>
  </si>
  <si>
    <t>Cash flow check</t>
  </si>
  <si>
    <t>Reclassification check</t>
  </si>
  <si>
    <t>Test na dlouhodobý majetek</t>
  </si>
  <si>
    <t>Dlouhodobý majetek bez ř. 27 - běžné období</t>
  </si>
  <si>
    <t>from balance sheet</t>
  </si>
  <si>
    <t>Dlouhodobý majetek bez ř. 27 - minulé období</t>
  </si>
  <si>
    <t>Změna</t>
  </si>
  <si>
    <t>Nabytí dlouhodobého hmotného majetku</t>
  </si>
  <si>
    <t>from cashflow</t>
  </si>
  <si>
    <t>Nabytí dlouhodobého nehmotného majetku</t>
  </si>
  <si>
    <t xml:space="preserve">Nabytí dlouhodobého finančního majetku </t>
  </si>
  <si>
    <t>Změna stavu OP k dlouhodobému majetku</t>
  </si>
  <si>
    <t>Odpisy hmotného a nehmotného majetku</t>
  </si>
  <si>
    <t>Odpisy OP k nabytému majetku</t>
  </si>
  <si>
    <t>Příjmy z prodeje hmotného a nehmotného majetku</t>
  </si>
  <si>
    <t>Příjmy z prodeje dlouhodobého finančního majetku</t>
  </si>
  <si>
    <t>Zisk nebo ztráta z prodeje hmotného a nehmotného majetku</t>
  </si>
  <si>
    <t>Zisk nebo ztráta z prodeje cenných papírů</t>
  </si>
  <si>
    <t>Kalkulovaná čistá změna dlouhodobého majetku</t>
  </si>
  <si>
    <t>Difference</t>
  </si>
  <si>
    <t>Zdroj popis</t>
  </si>
  <si>
    <t>Stav peněžních prostředků a peněžních ekvivalentů na začátku účetního období</t>
  </si>
  <si>
    <t>sum</t>
  </si>
  <si>
    <t>V</t>
  </si>
  <si>
    <t>Účetní zisk nebo ztráta z běžné činnosti před zdaněním</t>
  </si>
  <si>
    <t>A.1</t>
  </si>
  <si>
    <t>běž-min</t>
  </si>
  <si>
    <t>A.1.2</t>
  </si>
  <si>
    <t>sum*</t>
  </si>
  <si>
    <t>A.2</t>
  </si>
  <si>
    <t>B.1</t>
  </si>
  <si>
    <t>B.2</t>
  </si>
  <si>
    <t>C.2</t>
  </si>
  <si>
    <t>R</t>
  </si>
  <si>
    <t>automaticky namapováno z B/S a P&amp;L</t>
  </si>
  <si>
    <t>darovaný majetek</t>
  </si>
  <si>
    <t>likvid. majetek</t>
  </si>
  <si>
    <t>pořízení dlouh. a fin. majetku</t>
  </si>
  <si>
    <t>platby do/z vlastního kapitálu</t>
  </si>
  <si>
    <t>SUM</t>
  </si>
  <si>
    <t>úprava o OP k pohledávkám</t>
  </si>
  <si>
    <t>úprava o OP k zásobám</t>
  </si>
  <si>
    <t xml:space="preserve">přecenění, kt. není proti FI </t>
  </si>
  <si>
    <t xml:space="preserve">úprava o odloženou daň </t>
  </si>
  <si>
    <t>úprava o rezervu na daň z příjmů</t>
  </si>
  <si>
    <t>nezaplacené výnosy z prodeje FI</t>
  </si>
  <si>
    <t>úroky z krátk. fin. majetku</t>
  </si>
  <si>
    <t>nezaplac. přírůstky DNHM</t>
  </si>
  <si>
    <t>odpis závazků</t>
  </si>
  <si>
    <t>odpis pohledávek</t>
  </si>
  <si>
    <t>manka a přebytky zásoby</t>
  </si>
  <si>
    <t>nezaplacené úroky</t>
  </si>
  <si>
    <t>KONEČNÝ PŘEHLED O PENĚŽNÍCH TOCÍCH</t>
  </si>
  <si>
    <t>CF PO RUČNÍCH ÚPRAVÁCH</t>
  </si>
  <si>
    <t>Součet z zustatek</t>
  </si>
  <si>
    <t>A.1.3</t>
  </si>
  <si>
    <t>PENĚŽNÍ TOKY Z HLAVNÍ VÝDĚLEČNÉ ČINNOSTI</t>
  </si>
  <si>
    <t>A*. Čistý peněžní tok z provoz. činn. před zdan., změnami prac. kap. a mim. položkami</t>
  </si>
  <si>
    <t xml:space="preserve">  A.2.1. ZS pohledávek z provoz. činnosti, aktivních účtů čas. rozliš. a dohad. účtů aktivních</t>
  </si>
  <si>
    <t>A.2.1</t>
  </si>
  <si>
    <t>A.2.2</t>
  </si>
  <si>
    <t>A.2.3</t>
  </si>
  <si>
    <t>A.2.4</t>
  </si>
  <si>
    <t>A.5</t>
  </si>
  <si>
    <t>A.6</t>
  </si>
  <si>
    <t>A.7</t>
  </si>
  <si>
    <t>A.7. Přijaté dividendy a podíly na zisku</t>
  </si>
  <si>
    <t>PENĚŽNÍ TOKY Z INVESTIČNÍ ČINNOSTI</t>
  </si>
  <si>
    <t>A.3</t>
  </si>
  <si>
    <t>A.4</t>
  </si>
  <si>
    <t>B</t>
  </si>
  <si>
    <t>PENĚŽNÍ TOKY Z FINANČNÍ ČINNOSTI</t>
  </si>
  <si>
    <t>C.1</t>
  </si>
  <si>
    <t>C</t>
  </si>
  <si>
    <t>A.1.1</t>
  </si>
  <si>
    <t>A.1.5</t>
  </si>
  <si>
    <t>A.1.6</t>
  </si>
  <si>
    <t>A.1.7</t>
  </si>
  <si>
    <t>stav</t>
  </si>
  <si>
    <t>B.3</t>
  </si>
  <si>
    <t>ručně</t>
  </si>
  <si>
    <t>VZOREC</t>
  </si>
  <si>
    <t>RUČNĚ</t>
  </si>
  <si>
    <t>RECLASS</t>
  </si>
  <si>
    <t>Cash and cash equivalents, beginning of period</t>
  </si>
  <si>
    <t>Finanzmittelbestand zu Beginn des Geschäftsjahres</t>
  </si>
  <si>
    <t>NET OPERATING CASH FLOW</t>
  </si>
  <si>
    <t>NETTOFINANZFLUSS AUS DER GEWÖHNLICHEN GESCHÄFTSTÄTIGKEIT</t>
  </si>
  <si>
    <t>Cash flow</t>
  </si>
  <si>
    <t>Provoz</t>
  </si>
  <si>
    <t>Z. Accounting profit (loss) from ordinary activities</t>
  </si>
  <si>
    <t>Z. Ergebnis der gewöhnlichen Geschäftstätigkeit vor Steuern</t>
  </si>
  <si>
    <t>Úpravy o nepeněžní operace</t>
  </si>
  <si>
    <t>Non-cash transactions</t>
  </si>
  <si>
    <t>Erfolgswirksame Buchungen ohne entsprechenden Cashflow</t>
  </si>
  <si>
    <t>Abschreibungen auf Gegenstände des Anlagevermögens</t>
  </si>
  <si>
    <t>Odpisy stálých  aktiv</t>
  </si>
  <si>
    <t>Depreciation of fixed assets</t>
  </si>
  <si>
    <t>Zisk(-) ztráta(+) z prodeje stálých aktiv</t>
  </si>
  <si>
    <t>Profit(-) Loss(+) on sale of fixed assets</t>
  </si>
  <si>
    <t>Výnosy z dividend a podílu na zisku</t>
  </si>
  <si>
    <t>Revenue from dividends and profit distribution</t>
  </si>
  <si>
    <t>Vyúčtované nákladové a výnosové úroky</t>
  </si>
  <si>
    <t>Expense and revenue interests accounted for</t>
  </si>
  <si>
    <t>Případné úpravy o ostatní nepeněžní operace</t>
  </si>
  <si>
    <t>Other non-cash transactions</t>
  </si>
  <si>
    <t xml:space="preserve">Gewinn / Verlust aus dem Verkauf von Gegenständen des Anlagevermögens </t>
  </si>
  <si>
    <t>Erträge aus Dividenden und Gewinnanteilen</t>
  </si>
  <si>
    <t xml:space="preserve">Zinsaufwendungen und -erträge </t>
  </si>
  <si>
    <t>Sonstige erfolgswirksame Buchungen ohne entsprechenden Cashflow</t>
  </si>
  <si>
    <t>Z.</t>
  </si>
  <si>
    <t>id_4</t>
  </si>
  <si>
    <t>Net operating cash flow before changes in working capital and extraordinary items</t>
  </si>
  <si>
    <t>Stav poč.</t>
  </si>
  <si>
    <t>Změna stavu nepeněžních položek pracovního kapitálu</t>
  </si>
  <si>
    <t>Changes in working capital</t>
  </si>
  <si>
    <t>Veränderung des Nettoumlaufvermögens</t>
  </si>
  <si>
    <t>Change in receivables from operating activities and deferrals</t>
  </si>
  <si>
    <t>Veränderung der betrieblichen Forderungen und der aktiven Rechnungsabgrenzungsposten</t>
  </si>
  <si>
    <t>Change in short-term liabilities from operating activities and accruals</t>
  </si>
  <si>
    <t>Veränderung der kurzfristigen betriebl. Verbindlich. und der passiven Rechnungsabgrenzungsposten</t>
  </si>
  <si>
    <t xml:space="preserve">Změna stavu zásob </t>
  </si>
  <si>
    <t>Change in inventories</t>
  </si>
  <si>
    <t>Change in short-term financial assets, other than cash and cash equivalents</t>
  </si>
  <si>
    <t>Veränderung des Vorratsvermögens</t>
  </si>
  <si>
    <t>Veränderung des nicht zu den Finanzmitteln gehörenden Finanzvermögens</t>
  </si>
  <si>
    <t>Čistý peněžní tok z provozní činnosti před zdaněním a mimořádnými položkami</t>
  </si>
  <si>
    <t>Net operating cash flow before tax and extraordinary items</t>
  </si>
  <si>
    <t>Nettofinanzfluss aus der Betriebstätigkeit vor Steuern und außerordentlichen Posten</t>
  </si>
  <si>
    <t>Vyplacené úroky s výjimkou kapitalizovaných úroků</t>
  </si>
  <si>
    <t>Interest paid excluding amounts capitalised</t>
  </si>
  <si>
    <t>Bezahlte Zinsen mit Ausnahme aktivierter Zinsen</t>
  </si>
  <si>
    <t>Přijaté úroky</t>
  </si>
  <si>
    <t>Interest received</t>
  </si>
  <si>
    <t>Erhaltene Zinsen</t>
  </si>
  <si>
    <t xml:space="preserve">Zaplacená daň z příjmů za běžnou činnost a doměrky daně za minulá období </t>
  </si>
  <si>
    <t>Income tax paid on ordinary income and income tax relating to prior periods</t>
  </si>
  <si>
    <t>Bezahlte Einkommensteuer für das laufende Geschäftsjahr und Nachzahlungen für Vorjahre</t>
  </si>
  <si>
    <t>Příjmy a výdaje spojené s mimořádnými účetními případy</t>
  </si>
  <si>
    <t>Receipts and disbursement from extraordinary items</t>
  </si>
  <si>
    <t>Einnahmen und Ausgaben aus außerordentlichen Geschäftsvorfällen</t>
  </si>
  <si>
    <t>Přijaté dividendy a podíly na zisku</t>
  </si>
  <si>
    <t>Dividends received and profit shares</t>
  </si>
  <si>
    <t>Erhaltene Dividenden und Gewinnanteile</t>
  </si>
  <si>
    <t>Čistý peněžní tok z provozní činnosti</t>
  </si>
  <si>
    <t>Net operating cash flow</t>
  </si>
  <si>
    <t>Nettofinanzfluss aus der Betriebstätigkeit</t>
  </si>
  <si>
    <t>A.***</t>
  </si>
  <si>
    <t>Nettofinanzfluss aus der Investitionstätigkeit</t>
  </si>
  <si>
    <t>Investice</t>
  </si>
  <si>
    <t>B.***</t>
  </si>
  <si>
    <t>A.**</t>
  </si>
  <si>
    <t>A.*</t>
  </si>
  <si>
    <t>Acquisition of fixed assets</t>
  </si>
  <si>
    <t>Erwerb von Anlagevermögen</t>
  </si>
  <si>
    <t>Příjmy z prodeje stálých aktiv</t>
  </si>
  <si>
    <t>Příjmy z prodeje dlouhodobého hmotného a nehmotného majetku</t>
  </si>
  <si>
    <t>Půjčky a úvěry spřízněným osobám</t>
  </si>
  <si>
    <t>Čistý peněžní tok vztahující se k investiční činnosti</t>
  </si>
  <si>
    <t>Proceeds from sales of fixed assets</t>
  </si>
  <si>
    <t>Advances and loans to related parties</t>
  </si>
  <si>
    <t>Net cash flow from investment activity</t>
  </si>
  <si>
    <t>Erlöse aus dem Verkauf von Gegenständen des Anlagevermögens</t>
  </si>
  <si>
    <t>Kredite und Darlehen an verbundene Unternehmen und nahestehende Personen</t>
  </si>
  <si>
    <t>Nettofinanzfluss aus der Finanzierung</t>
  </si>
  <si>
    <t>Finance</t>
  </si>
  <si>
    <t>C.***</t>
  </si>
  <si>
    <t>Stav kon.</t>
  </si>
  <si>
    <t>Dopady změn vlastního kapitálu na peněžní prostředky</t>
  </si>
  <si>
    <t>Zvýšení základního kapitálu, emisního ážia  event. rezervního fondu</t>
  </si>
  <si>
    <t>Vyplacení podílu na vlastním kapitálu společníkům</t>
  </si>
  <si>
    <t xml:space="preserve">Další vklady peněžních prostředků společníků a akcionářů </t>
  </si>
  <si>
    <t>Úhrada ztráty společníky</t>
  </si>
  <si>
    <t>Přímé platby na vrub fondů</t>
  </si>
  <si>
    <t>Vyplacené dividendy nebo podíly na zisku včetně zaplacené srážkové daně a tantiémy</t>
  </si>
  <si>
    <t>Čistý peněžní tok vztahující se k finanční činnosti</t>
  </si>
  <si>
    <t>Čisté zvýšení nebo snížení peněžních prostředků</t>
  </si>
  <si>
    <t>Stav peněžních prostředků a peněžních ekvivalentů na konci účetního období</t>
  </si>
  <si>
    <t>Change in long-term liabilities and bank loans</t>
  </si>
  <si>
    <t>Increase and decrease in equity from cash transactions</t>
  </si>
  <si>
    <t>Subscription of shares and investments</t>
  </si>
  <si>
    <t xml:space="preserve">Equity paid to shareholders </t>
  </si>
  <si>
    <t>Other cash contributions from partners and shareholders</t>
  </si>
  <si>
    <t xml:space="preserve">Loss settlement from partners </t>
  </si>
  <si>
    <t>Direct payments from funds</t>
  </si>
  <si>
    <t>Dividends paid and profit shares including withholding tax paid</t>
  </si>
  <si>
    <t>Net cash flow from financial activity</t>
  </si>
  <si>
    <t>Net increase or decrease in cash balance</t>
  </si>
  <si>
    <t>Cash and cash equivalents, end of period</t>
  </si>
  <si>
    <t xml:space="preserve">Veränderung der langfristigen bzw. kurzfristigen Kredite </t>
  </si>
  <si>
    <t xml:space="preserve">Veränderungen des Eigenkapitals </t>
  </si>
  <si>
    <t xml:space="preserve">Erhöhung des gezeichneten Kapitals bzw. des Aufgelds (Agios) oder der Kapitalrücklage </t>
  </si>
  <si>
    <t>Kapitalrückzahlungen an Gesellschafter</t>
  </si>
  <si>
    <t>Weitere Finanzmitteleinlagen der Gesellschafter und Aktionäre</t>
  </si>
  <si>
    <t>Verlustdeckung durch Gesellschafter</t>
  </si>
  <si>
    <t>Direktzahlungen aus den Rücklagen</t>
  </si>
  <si>
    <t>Ausgezahlte Dividenden und Gewinnanteile inkl. bezahlter Quellensteuer</t>
  </si>
  <si>
    <t>Nettoerhöhung oder -verminderung des Finanzmittelbestandes</t>
  </si>
  <si>
    <t>Finanzmittelbestand am Ende des Geschäftsjahres</t>
  </si>
  <si>
    <t>PENĚŽNÍ TOKY S INVESTIČNÍ ČINNOSTI</t>
  </si>
  <si>
    <t>INVESTMENT ACTIVITY</t>
  </si>
  <si>
    <t>NETTOFINANZFLUSS AUS DER INVESTITIONSTÄTIGKEIT</t>
  </si>
  <si>
    <t>PENĚŽNÍ TOKY Z FINANČNÍCH ČINNOSTÍ</t>
  </si>
  <si>
    <t>FINANCIAL ACTIVITY</t>
  </si>
  <si>
    <t>NETTOFINANZFLUSS AUS DER FINANZIERUNG</t>
  </si>
  <si>
    <t>Řád</t>
  </si>
  <si>
    <t>Change in provisions and other adjustments</t>
  </si>
  <si>
    <t>Veränderung der Rückstellungen und Wertberichtigungen</t>
  </si>
  <si>
    <t>Změna stavu opravných položek a rezerv</t>
  </si>
  <si>
    <t>A.1.1. Odpisy</t>
  </si>
  <si>
    <t>A.1.2. Změna stavu:</t>
  </si>
  <si>
    <t>.</t>
  </si>
  <si>
    <t>Čistý peněžní tok z provozní činnosti
před zdaněním, změnami pracovního kapitálu a mimořádnými položkami</t>
  </si>
  <si>
    <t>Změna stavu pohledávek z provoz. činnosti a aktivních účtů čas. rozlišení</t>
  </si>
  <si>
    <t>Změna stavu krátkodobých závazků z provoz. činnosti a pasivních účtů čas. rozlišení</t>
  </si>
  <si>
    <t>Změna stavu krátkodobého fin. majetku, který není zahrnut do peněžních prostředků</t>
  </si>
  <si>
    <t>Výdaje spojené s nabytím stálých aktiv</t>
  </si>
  <si>
    <t>B.1. Výdaje spojené s  nabytí stálých aktiv</t>
  </si>
  <si>
    <t>Dopady změn dlouhodobých, popř. krátkodobých závazků z finanční oblasti</t>
  </si>
  <si>
    <t>Nettofinanzfluss aus der Betriebstätigkeit 
vor Steuern, Veränderungen des Nettoumlaufvermögens und außerordentlichen Posten</t>
  </si>
  <si>
    <t>proces</t>
  </si>
  <si>
    <t>Dlouhodobý majetek</t>
  </si>
  <si>
    <t>Financování</t>
  </si>
  <si>
    <t>Zásoby</t>
  </si>
  <si>
    <t>Prodej</t>
  </si>
  <si>
    <t>Nákup</t>
  </si>
  <si>
    <t>Mzdy</t>
  </si>
  <si>
    <t>Daně</t>
  </si>
  <si>
    <t>proces default</t>
  </si>
  <si>
    <t>sloupec</t>
  </si>
  <si>
    <t>proces final</t>
  </si>
  <si>
    <t>kontrola</t>
  </si>
  <si>
    <t>nezařazené účty</t>
  </si>
  <si>
    <t>Sídlo, bydliště, místo:</t>
  </si>
  <si>
    <t>plná verze umí češtinu, angličtinu a němčinu</t>
  </si>
  <si>
    <t>rozdíl hv ve výsledovce vs. v pasivech</t>
  </si>
  <si>
    <t>rozdíl aktiva mínus pasiva</t>
  </si>
  <si>
    <t>Počet pozic v čísle účtu:</t>
  </si>
  <si>
    <t>Odpisy stálých aktiv</t>
  </si>
  <si>
    <t>Změna stavu goodwillu</t>
  </si>
  <si>
    <t>Změna stavu oceňovacího rozdílu k nabytému majetku</t>
  </si>
  <si>
    <t>rezerv a opravných položek v provozní oblasti</t>
  </si>
  <si>
    <t>Tržby z prodeje dlouhodobého majetku</t>
  </si>
  <si>
    <t>Nepeněžní operace 1</t>
  </si>
  <si>
    <t>Nepeněžní operace 2</t>
  </si>
  <si>
    <t>Nepeněžní operace 3</t>
  </si>
  <si>
    <t>ZS krátkodobých pohledávek  (ř. 49 až 57)</t>
  </si>
  <si>
    <t>Změna stavu dlouhodobých pohledávek  (ř. 40 až 47)</t>
  </si>
  <si>
    <t>Změna stavu krátkodobých závazků  (ř. 107 až 117)</t>
  </si>
  <si>
    <t>Změna stavu časového rozlišení v aktivech  (ř. 64 až 66)</t>
  </si>
  <si>
    <t>Změna stavu časového rozlišení v pasivech  (ř. 123 + 124)</t>
  </si>
  <si>
    <t>Změna stavu zásob materiálu</t>
  </si>
  <si>
    <t>Změna stavu zásob nedokončené výroby a polotovarů</t>
  </si>
  <si>
    <t>Změna stavu zásob výrobků</t>
  </si>
  <si>
    <t>Změna stavu zásob zboží</t>
  </si>
  <si>
    <t>Změna stavu zásob zvířat</t>
  </si>
  <si>
    <t>Změna stavu poskytnutých záloh na zásoby</t>
  </si>
  <si>
    <t>Změna stavu pořizovaného krátkodobého finančního majetku</t>
  </si>
  <si>
    <t>Změna stavu dlouhodobých závazků  (ř. 96 až 105)</t>
  </si>
  <si>
    <t>Změna stavu bankovních úvěrů a výpomocí  (ř. 119 až 121)</t>
  </si>
  <si>
    <t>Zvýšení základního kapitálu</t>
  </si>
  <si>
    <t>Zvýšení emisního ážia</t>
  </si>
  <si>
    <t>Zvýšení rezervního fondu</t>
  </si>
  <si>
    <t>Vyplacené dividendy nebo podíly na zisku včetně zaplacené srážkové daně</t>
  </si>
  <si>
    <t>Kontrola zaokrouhlení:</t>
  </si>
  <si>
    <t>výsledovka</t>
  </si>
  <si>
    <t>např. pro šestimístné kódy účtů (112100) zadejte 6</t>
  </si>
  <si>
    <t>vyber ze seznamu jednotku výkazu</t>
  </si>
  <si>
    <t>Ostatní ocenitelná práva</t>
  </si>
  <si>
    <t>Ostatní dlouhodobý nehmotný majetek</t>
  </si>
  <si>
    <t>Pozemky a stavby</t>
  </si>
  <si>
    <t>Land and buildings</t>
  </si>
  <si>
    <t>Grundstücke und Bauten</t>
  </si>
  <si>
    <t>Hmotné movité věci a jejich soubory</t>
  </si>
  <si>
    <t>Ostatní dlouhodobý hmotný majetek</t>
  </si>
  <si>
    <t>Podíly - ovládaná nebo ovládající osoba</t>
  </si>
  <si>
    <t>Podíly - podstatný vliv</t>
  </si>
  <si>
    <t>Zápůjčky a úvěry - ovládaná nebo ovládající osoba</t>
  </si>
  <si>
    <t>Loans - group undertakings</t>
  </si>
  <si>
    <t>Loans - associated companies</t>
  </si>
  <si>
    <t>Ausleihungen und Darlehen an verbundene Unternehmen</t>
  </si>
  <si>
    <t>Ausleihungen und Darlehen an Unternehmen, mit denen ein Beteiligungsverhältnis besteht</t>
  </si>
  <si>
    <t>Zápůjčky a úvěry - ostatní</t>
  </si>
  <si>
    <t>Loans - others</t>
  </si>
  <si>
    <t>Ostatní dlouhodobý finanční majetek</t>
  </si>
  <si>
    <t>Výrobky a zboží</t>
  </si>
  <si>
    <t>Finished products and goods for resale</t>
  </si>
  <si>
    <t>Fertige Erzeugnisse und Waren</t>
  </si>
  <si>
    <t>Finished products</t>
  </si>
  <si>
    <t>id_5</t>
  </si>
  <si>
    <t>Pohledávky - ostatní</t>
  </si>
  <si>
    <t>Ostatní krátkodobý finanční majetek</t>
  </si>
  <si>
    <t>Other short-term financial assets</t>
  </si>
  <si>
    <t>Peněžní prostředky v pokladně</t>
  </si>
  <si>
    <t>Peněžní prostředky na účtech</t>
  </si>
  <si>
    <t>Dlouhodobé pohledávky</t>
  </si>
  <si>
    <t>Krátkodobé pohledávky</t>
  </si>
  <si>
    <t>Vlastní podíly (-)</t>
  </si>
  <si>
    <t>Own interests (-)</t>
  </si>
  <si>
    <t>Eigene Geschäftsanteile</t>
  </si>
  <si>
    <t>Kapitálové fondy</t>
  </si>
  <si>
    <t>Capital contributions</t>
  </si>
  <si>
    <t>Kapitalrücklagen</t>
  </si>
  <si>
    <t>Oceňovací rozdíly z přecenění majetku a závazků (+/-)</t>
  </si>
  <si>
    <t>Ostatní rezervní fondy</t>
  </si>
  <si>
    <t>Other reserve funds</t>
  </si>
  <si>
    <t>Vyměnitelné dluhopisy</t>
  </si>
  <si>
    <t>Ostatní dluhopisy</t>
  </si>
  <si>
    <t>Závazky k úvěrovým institucím</t>
  </si>
  <si>
    <t>Závazky ostatní</t>
  </si>
  <si>
    <t>Krátkodobé směnky k úhradě</t>
  </si>
  <si>
    <t>Short-term bills of exchange payable</t>
  </si>
  <si>
    <t>Kurzfristige Wechselverbindlichkeiten</t>
  </si>
  <si>
    <t>Zápůjčky a úvěry - podstatný vliv</t>
  </si>
  <si>
    <t>Rozhodnuto o zálohové výplatě podílu na zisku</t>
  </si>
  <si>
    <t>Tržby za prodej výrobků a služeb</t>
  </si>
  <si>
    <t>Revenue from products and services</t>
  </si>
  <si>
    <t>Výkonová spotřeba</t>
  </si>
  <si>
    <t>Náklady na sociální zabezpečení, zdravotní pojištění a ostatní náklady</t>
  </si>
  <si>
    <t>Ostatní náklady</t>
  </si>
  <si>
    <t>Social security, health insurance and other expenses</t>
  </si>
  <si>
    <t>Other expenses</t>
  </si>
  <si>
    <t>Úpravy hodnot v provozní oblasti</t>
  </si>
  <si>
    <t>Úpravy hodnot zásob</t>
  </si>
  <si>
    <t>Úpravy hodnot pohledávek</t>
  </si>
  <si>
    <t>Jiné provozní výnosy</t>
  </si>
  <si>
    <t xml:space="preserve">Tržby z prodaného dlouhodobého majetku </t>
  </si>
  <si>
    <t>Tržby z prodaného materiálu</t>
  </si>
  <si>
    <t>Jiné provozní náklady</t>
  </si>
  <si>
    <t xml:space="preserve">Net book value of material sold </t>
  </si>
  <si>
    <t>Rezervy v provozní oblasti a komplexní náklady příštích období</t>
  </si>
  <si>
    <t>Provisions relating to operating activity and complex prepaid expenses</t>
  </si>
  <si>
    <t>Výnosy z dlouhodobého finančního majetku - podíly</t>
  </si>
  <si>
    <t>Výnosy z podílů - ovládaná nebo ovládající osoba</t>
  </si>
  <si>
    <t>Ostatní výnosy z podílů</t>
  </si>
  <si>
    <t>Náklady vynaložené na prodané podíly</t>
  </si>
  <si>
    <t>Ostatní výnosy z ostatního dlouhodobého finančního majetku</t>
  </si>
  <si>
    <t>Náklady související s ostatním dlouhodobým finančním majetkem</t>
  </si>
  <si>
    <t>Výnosové úroky a podobné výnosy</t>
  </si>
  <si>
    <t>Interest and similar revenue</t>
  </si>
  <si>
    <t>Ostatní výnosové úroky a podobné výnosy</t>
  </si>
  <si>
    <t>Úpravy hodnot a rezervy ve finanční oblasti</t>
  </si>
  <si>
    <t>Nákladové úroky a podobné náklady</t>
  </si>
  <si>
    <t>Interest and similar expense</t>
  </si>
  <si>
    <t>Ostatní nákladové úroky a podobné náklady</t>
  </si>
  <si>
    <t>Daň z příjmů splatná</t>
  </si>
  <si>
    <t>Income tax</t>
  </si>
  <si>
    <t>Income tax current</t>
  </si>
  <si>
    <t>IV:</t>
  </si>
  <si>
    <t>M</t>
  </si>
  <si>
    <t>Osobní náklady</t>
  </si>
  <si>
    <t>calc</t>
  </si>
  <si>
    <t>pol</t>
  </si>
  <si>
    <t>B.I.</t>
  </si>
  <si>
    <t>B.I.2.</t>
  </si>
  <si>
    <t>B.II.</t>
  </si>
  <si>
    <t>B.II.1.</t>
  </si>
  <si>
    <t>a4</t>
  </si>
  <si>
    <t>AKT</t>
  </si>
  <si>
    <t>B.I.5.</t>
  </si>
  <si>
    <t>Zápůjčky a úvěry - ovládaná a ovládající osoba</t>
  </si>
  <si>
    <t>Oprávky k ostatním ocenitelným právům</t>
  </si>
  <si>
    <t>Oprávky k ostatnímu dlouhodobému nehmotnému majetku</t>
  </si>
  <si>
    <t>Oprávky k hmotným movitým věcem a jejich souborům</t>
  </si>
  <si>
    <t>Krátkodobé dluhy k úvěrovým institucím</t>
  </si>
  <si>
    <t>Vlastní podíly</t>
  </si>
  <si>
    <t>Dluhové cenné papíry k obchodování</t>
  </si>
  <si>
    <t>Ostatní cenné papíry</t>
  </si>
  <si>
    <t>alt 4</t>
  </si>
  <si>
    <t>B.II.4</t>
  </si>
  <si>
    <t>B.II.5</t>
  </si>
  <si>
    <t>B.III.</t>
  </si>
  <si>
    <t>B.III.7.</t>
  </si>
  <si>
    <t>C.I.</t>
  </si>
  <si>
    <t>C.I.3.</t>
  </si>
  <si>
    <t>C.II.</t>
  </si>
  <si>
    <t>C.II.1.</t>
  </si>
  <si>
    <t>C.II.1.5.</t>
  </si>
  <si>
    <t>a5</t>
  </si>
  <si>
    <t>alt 5</t>
  </si>
  <si>
    <t>Dluhy z obchodních vztahů</t>
  </si>
  <si>
    <t>Ostatní dluhy</t>
  </si>
  <si>
    <t>Dluhy z koupě obchodního závodu</t>
  </si>
  <si>
    <t>Jiné dluhy</t>
  </si>
  <si>
    <t>Dlouhodobé úvěry k úvěrovým institucím</t>
  </si>
  <si>
    <t>Dluhy z pachtu obchodního závodu</t>
  </si>
  <si>
    <t>Krátkodobé přijaté zálohy</t>
  </si>
  <si>
    <t>C.II.2.</t>
  </si>
  <si>
    <t>C.II.2.4.</t>
  </si>
  <si>
    <t>C.III.</t>
  </si>
  <si>
    <t>C.IV.</t>
  </si>
  <si>
    <t>A.I.</t>
  </si>
  <si>
    <t>PAS</t>
  </si>
  <si>
    <t>A.II.</t>
  </si>
  <si>
    <t>A.II.2.</t>
  </si>
  <si>
    <t>A.III.</t>
  </si>
  <si>
    <t>A.IV.</t>
  </si>
  <si>
    <t>---</t>
  </si>
  <si>
    <t>B.+C.</t>
  </si>
  <si>
    <t>C.I.1.</t>
  </si>
  <si>
    <t>C.I.9.</t>
  </si>
  <si>
    <t>C.II.8.</t>
  </si>
  <si>
    <t>Mimořádné provozní náklady</t>
  </si>
  <si>
    <t>Tvorba a zúčtování ostatních opravných položek v provozní činnosti</t>
  </si>
  <si>
    <t>Mimořádné finanční náklady</t>
  </si>
  <si>
    <t>Daň z příjmů - splatná</t>
  </si>
  <si>
    <t>Daň z příjmů - odložená</t>
  </si>
  <si>
    <t>Tvorba a zúčtování rezervy na daň z příjmů</t>
  </si>
  <si>
    <t>Mimořádné provozní výnosy</t>
  </si>
  <si>
    <t>Mimořádné finanční výnosy</t>
  </si>
  <si>
    <t>PROVOZ</t>
  </si>
  <si>
    <t>D.2.</t>
  </si>
  <si>
    <t>E.1.</t>
  </si>
  <si>
    <t>FIN</t>
  </si>
  <si>
    <t>HV1</t>
  </si>
  <si>
    <t>Liabilities to banks</t>
  </si>
  <si>
    <t>Liabilities other</t>
  </si>
  <si>
    <t>AKTIVA CELKEM      (ř. 02 + 03 + 37 + 74)</t>
  </si>
  <si>
    <t>TOTAL ASSETS      (l. 02 + 03 + 37 + 74)</t>
  </si>
  <si>
    <t>SUMME AKTIVA      (Z. 02 + 03 + 37 + 74)</t>
  </si>
  <si>
    <t>Fixed assets      (l. 04 + 14 + 27)</t>
  </si>
  <si>
    <t>Anlagevermögen      (Z. 04 + 14 + 27)</t>
  </si>
  <si>
    <t>Dlouhodobý nehmotný majetek      (ř. 05 + 06 + 09 + 10 + 11)</t>
  </si>
  <si>
    <t>Intangible fixed assets      (l. 05 + 06 + 09 + 10 + 11)</t>
  </si>
  <si>
    <t>Immaterielle Vermögensgegenstände      (Z. 05 + 06 + 09 +10 + 11)</t>
  </si>
  <si>
    <t>Konzessionen und Rechte</t>
  </si>
  <si>
    <t>Other intellectual property rights</t>
  </si>
  <si>
    <t>Geschäfts- oder Firmenwert</t>
  </si>
  <si>
    <t>Advance payments and intangible fixed assets under construction</t>
  </si>
  <si>
    <t>Geleistete Anzahlungen und unfertige immaterielle Vermögensgegenstände</t>
  </si>
  <si>
    <t>Dlouhodobý hmotný majetek      (ř. 15 + 18 + 19 + 20 + 24)</t>
  </si>
  <si>
    <t>Tangible fixed assets      (l. 15 + 18 + 19 + 20 + 24)</t>
  </si>
  <si>
    <t>Sachanlagen      (Z. 15 + 18 + 19 + 20 + 24)</t>
  </si>
  <si>
    <t>Sundry tangible fixed assets</t>
  </si>
  <si>
    <t>Andere Anlagen</t>
  </si>
  <si>
    <t>Advance payments and tangible fixed assets under construction</t>
  </si>
  <si>
    <t>Geleistete Anzahlungen und Anlagen im Bau</t>
  </si>
  <si>
    <t>Dlouhodobý finanční majetek      (ř. 28 až 34)</t>
  </si>
  <si>
    <t>Long-term financial assets      (l. 28 to 34)</t>
  </si>
  <si>
    <t>Finanzanlagen      (Z. 28 bis 34)</t>
  </si>
  <si>
    <t>Ausleihungen und Darlehen - Sonstige</t>
  </si>
  <si>
    <t>Other long-term financial investments</t>
  </si>
  <si>
    <t>Sonstige Finanzanlagen</t>
  </si>
  <si>
    <t>Sundry long-term investments</t>
  </si>
  <si>
    <t>Andere Finanzanlgen</t>
  </si>
  <si>
    <t>Oběžná aktiva      (ř. 38 + 46 + 68 + 71)</t>
  </si>
  <si>
    <t>Current assets      (l. 38 + 46 + 68 + 71)</t>
  </si>
  <si>
    <t>Umlaufvermögen      (Z. 38 + 46 + 68 + 71)</t>
  </si>
  <si>
    <t>Zásoby      (ř. 39 + 40 + 41 + 44 + 45)</t>
  </si>
  <si>
    <t>Inventories      (l. 39 + 40 + 41 + 44 + 45)</t>
  </si>
  <si>
    <t>Vorräte      (Z. 39 +40 + 41 + 44 + 45)</t>
  </si>
  <si>
    <t>Fertige Erzeugnisse</t>
  </si>
  <si>
    <t>Pohledávky      (ř. 47 + 57)</t>
  </si>
  <si>
    <t>Receivables      (l. 47 + 57)</t>
  </si>
  <si>
    <t>Forderungen      (Z. 47 + 57)</t>
  </si>
  <si>
    <t>Long-term receivables</t>
  </si>
  <si>
    <t>Langfristige Forderungen</t>
  </si>
  <si>
    <t>Long-term receivables - others</t>
  </si>
  <si>
    <t>Forderungen - Sonstige</t>
  </si>
  <si>
    <t>Sundry receivables</t>
  </si>
  <si>
    <t>Andere Forderungen</t>
  </si>
  <si>
    <t>Short-term receivables</t>
  </si>
  <si>
    <t>Kurzfristige Forderungen</t>
  </si>
  <si>
    <t>Short-term receivables - others</t>
  </si>
  <si>
    <t>Krátkodobý finanční majetek      (ř. 69 až 70)</t>
  </si>
  <si>
    <t>Short-term financial assets      (l. 69 to 70)</t>
  </si>
  <si>
    <t>Kurzfristiges Finanzvermögen      (Z. 69 bis 70)</t>
  </si>
  <si>
    <t>Sonstiges kurzfristiges Finanzvermögen</t>
  </si>
  <si>
    <t>Peněžní prostředky      (ř. 72 až 73)</t>
  </si>
  <si>
    <t>Cash and bank accounts      (l. 72 to 73)</t>
  </si>
  <si>
    <t>Kassenbestand und Bankguthaben      (Z. 72 bis 73)</t>
  </si>
  <si>
    <t>Kassebestände</t>
  </si>
  <si>
    <t>Guthaben bei Kreditinstituten</t>
  </si>
  <si>
    <t>Časové rozlišení aktiv      (ř. 75 až 77)</t>
  </si>
  <si>
    <t>Deferrals      (l. 75 to 77)</t>
  </si>
  <si>
    <t>Aktive Rechnungsabgrenzungsposten      (Z. 75 bis 77)</t>
  </si>
  <si>
    <t>PASIVA CELKEM      (ř. 79 + 101 + 141)</t>
  </si>
  <si>
    <t>TOTAL EQUITY AND LIABILITIES      (l. 79 + 101 + 141)</t>
  </si>
  <si>
    <t>SUMME PASSIVA      (Z. 79 + 101 + 141)</t>
  </si>
  <si>
    <t>Vlastní kapitál      (ř. 80 + 84 + 92 + 95 + 99 + 100)</t>
  </si>
  <si>
    <t>Equity      (l. 80 + 84 + 92 + 95 + 99 + 100)</t>
  </si>
  <si>
    <t>Eigenkapital      (Z. 80 + 84 + 92 + 95 + 99 + 100)</t>
  </si>
  <si>
    <t>Základní kapitál      (ř. 81 až 83)</t>
  </si>
  <si>
    <t>Registered capital      (l. 81 to 83)</t>
  </si>
  <si>
    <t>Gezeichnetes Kapital      (Z. 81 bis 83)</t>
  </si>
  <si>
    <t>Ažio a kapitálové fondy      (ř. 85 + 86)</t>
  </si>
  <si>
    <t>Share premium and capital contributions      (l. 85 + 86)</t>
  </si>
  <si>
    <t>Aufgeld (Agio) und Kapitalrücklagen      (Z. 85 bis 86)</t>
  </si>
  <si>
    <t>Agio</t>
  </si>
  <si>
    <t>Neubewertung von Vermögen und Verbindlichkeiten (+/-)</t>
  </si>
  <si>
    <t>Neubewertung bei formwechselnder Umwandlung (+/-)</t>
  </si>
  <si>
    <t>Fondy ze zisku      (ř. 93 + 94)</t>
  </si>
  <si>
    <t>Funds from profit      (l. 93 + 94)</t>
  </si>
  <si>
    <t>Gewinnrücklagen      (Z. 93 bis 94)</t>
  </si>
  <si>
    <t>Sonstige Gewinnrücklagen</t>
  </si>
  <si>
    <t>Profit (loss) for the current period ( + /-)</t>
  </si>
  <si>
    <t>Rückstellungen für Renten und ähnliche Verbindlichkeiten</t>
  </si>
  <si>
    <t>Gemäß Sondervorschriften gebildete Rückstellungen</t>
  </si>
  <si>
    <t>Convertible bonds</t>
  </si>
  <si>
    <t>Schuldverschreibungen mit Umtauschrecht</t>
  </si>
  <si>
    <t>Other bonds</t>
  </si>
  <si>
    <t>Sonstige Schuldverschreibungen</t>
  </si>
  <si>
    <t>Langfristige Verbindlichkeiten gegenüber Kreditinstituten</t>
  </si>
  <si>
    <t>Other Liabilities</t>
  </si>
  <si>
    <t>Andere Verbindlichkeiten</t>
  </si>
  <si>
    <t>Liabilities to credit institutions</t>
  </si>
  <si>
    <t>Kurzfristige Verbindlichkeiten gegenüber Kreditinstituten</t>
  </si>
  <si>
    <t>Kurzfristige Finanzierungen</t>
  </si>
  <si>
    <t>Revenue from sale of goods</t>
  </si>
  <si>
    <t>Handelswarenerlöse</t>
  </si>
  <si>
    <t>Cost of sales</t>
  </si>
  <si>
    <t>Handelswareneinsatz und Verbrauch</t>
  </si>
  <si>
    <t>Personnel expenses</t>
  </si>
  <si>
    <t>Personalaufwand</t>
  </si>
  <si>
    <t>Aufwendungen für die Sozial- und Krankenversicherung und sonstige Aufwendungen</t>
  </si>
  <si>
    <t>Sonstige Personalaufwendungen</t>
  </si>
  <si>
    <t>Adjustments and depreciations in the operating result</t>
  </si>
  <si>
    <t>Wertberichtigungen und Abschreibungen im Betriebsergebnis</t>
  </si>
  <si>
    <t>Adjustments and depreciations to intangible and tangible fixed assets</t>
  </si>
  <si>
    <t>Wertberichtigungen und Abschreibungen auf immaterielle Vermögensgegenstände und Sachanlagen</t>
  </si>
  <si>
    <t>Depreciations to intangible and tangible fixed assets (permanent)</t>
  </si>
  <si>
    <t>Abschreibungen auf immaterielle Vermögensgegenstände und Sachanlagen (permanent)</t>
  </si>
  <si>
    <t>Adjustments to intangible and tangible fixed assets (temporary)</t>
  </si>
  <si>
    <t>Wertberichtigungen auf immaterielle Vermögensgegenstände und Sachanlagen (temporär)</t>
  </si>
  <si>
    <t>Adjustments to inventories</t>
  </si>
  <si>
    <t>Wertberichtigungen von Vorräten</t>
  </si>
  <si>
    <t>Adjustments to receivables</t>
  </si>
  <si>
    <t>Wertberichtigungen von Forderungen</t>
  </si>
  <si>
    <t>Sundry operating revenues</t>
  </si>
  <si>
    <t>Andere betriebliche Erträge</t>
  </si>
  <si>
    <t>Net book value of fixed assets sold</t>
  </si>
  <si>
    <t>Restbuchwert des verkauften Material</t>
  </si>
  <si>
    <t>Veränderung der betrieblichen Rückstellungen und der komplexen Aufwendungen der künftigen Perioden</t>
  </si>
  <si>
    <t>Sundry operating expenses</t>
  </si>
  <si>
    <t>Andere betriebliche Aufwendungen</t>
  </si>
  <si>
    <t xml:space="preserve">Revenue from long-term investments </t>
  </si>
  <si>
    <t>Erträge aus den Finanzanlagen - Anteile und Beteiligungen</t>
  </si>
  <si>
    <t>Revenue from long-term investments in group undertakings</t>
  </si>
  <si>
    <t>Erträge aus Anteilen und Beteiligungen an verbundenen Unternehmen</t>
  </si>
  <si>
    <t>Other revenue from long-term investments</t>
  </si>
  <si>
    <t>Sonstige Erträge aus Anteilen und Beteiligungen</t>
  </si>
  <si>
    <t>Einstandskosten der verkauften Anteilen und Beteiligungen</t>
  </si>
  <si>
    <t>Revenue from other long-term financial assets</t>
  </si>
  <si>
    <t>Erträge aus den sonstigen Finanzanlagen</t>
  </si>
  <si>
    <t>Revenue from other long-term financial assets in group undertakings</t>
  </si>
  <si>
    <t>Erträge aus den sonstigen Finanzanlagen - verbundene Unternehmen</t>
  </si>
  <si>
    <t>Other revenue from other long-term financial assets</t>
  </si>
  <si>
    <t>Sonstige Erträge aus den sonstigen Finanzanlagen</t>
  </si>
  <si>
    <t>Other long-term financial assets sold</t>
  </si>
  <si>
    <t>Kosten der sonstigen Finanzanlagen</t>
  </si>
  <si>
    <t>Zins- und zinsähnliche Erträge</t>
  </si>
  <si>
    <t>Interest and similar revenue in group undertakings</t>
  </si>
  <si>
    <t>Zins- und zinsähnliche Erträge - verbundene Unternehmen</t>
  </si>
  <si>
    <t>Other interest and similar revenue</t>
  </si>
  <si>
    <t>Sonstige Zins- und zinsähnliche Erträge</t>
  </si>
  <si>
    <t>Adjustments and provisions in the financial result</t>
  </si>
  <si>
    <t>Wertberichtigungen und Rückstellungen im Finanzergebnis</t>
  </si>
  <si>
    <t>Zins- und zinsähnliche Aufwendungen</t>
  </si>
  <si>
    <t>Interest and similar expense in group undertakings</t>
  </si>
  <si>
    <t>Zins- und zinsähnliche Aufwendungen - verbundene Unternehmen</t>
  </si>
  <si>
    <t>Other interest and similar expense</t>
  </si>
  <si>
    <t>Sonstige Zins- und zinsähnliche Aufwendungen</t>
  </si>
  <si>
    <t>Einkommensteuern</t>
  </si>
  <si>
    <t xml:space="preserve"> Fällige Steuern</t>
  </si>
  <si>
    <t>Čistý obrat za účetní období (I. + II. + III. + IV. + V. + VI. + VII.)</t>
  </si>
  <si>
    <t>Net turnover (I. + II. + III. + IV. + V. + VI. + VII.)</t>
  </si>
  <si>
    <t>Nettoumsatz der Periode (I. + II. + III. + IV. + V. + VI. + VII.)</t>
  </si>
  <si>
    <t>česky</t>
  </si>
  <si>
    <t>Změna stavu krátkodobého finančního majetku</t>
  </si>
  <si>
    <t xml:space="preserve">A.5. Zaplacená daň z příjmů a doměrky daně za minulá období </t>
  </si>
  <si>
    <t>Účetní zisk nebo ztráta</t>
  </si>
  <si>
    <t>tisíce</t>
  </si>
  <si>
    <t>ostatní</t>
  </si>
  <si>
    <t>úprava o uhrazené zálohy na daň</t>
  </si>
  <si>
    <t xml:space="preserve">krátk. půjčky a úvěry </t>
  </si>
  <si>
    <t>Nerozdělený zisk nebo neuhrazená ztráta minulých let (+/-)</t>
  </si>
  <si>
    <t>Poskytnuté zálohy na dlouh. nehm. majetek a nedokončený dlouh. nehm. majetek</t>
  </si>
  <si>
    <t>Poskytnuté zálohy na dlouh. nehm. majetek</t>
  </si>
  <si>
    <t>Poskytnuté zálohy na dlouh. hmotný majetek a nedok. dlouh. hmotný majetek</t>
  </si>
  <si>
    <t>Poskytnuté zálohy na dlouh. hmotný majetek</t>
  </si>
  <si>
    <t>Oceň. rozdíly z přecenění při přeměnách obch. korporací (+/-)</t>
  </si>
  <si>
    <t>Nákl. úroky a podobné náklady - ovládaná nebo ovládající osoba</t>
  </si>
  <si>
    <t>Výnos. úroky a podobné výnosy - ovládaná nebo ovládající osoba</t>
  </si>
  <si>
    <t>Výnosy z ostatního dlouh. fin. majetku - ovládaná nebo ovládající osoba</t>
  </si>
  <si>
    <t>Úpravy hodnot dlouh. nehmotného a hmotného majetku</t>
  </si>
  <si>
    <t>Úpravy hodnot dlouh. nehmotného a hmotného majetku - trvalé</t>
  </si>
  <si>
    <t>Úpravy hodnot dlouh. nehmotného a hmotného majetku - dočasné</t>
  </si>
  <si>
    <t>Stálá aktiva      (ř. 04 + 14 + 27)</t>
  </si>
  <si>
    <t xml:space="preserve">Nehmotné výsledky vývoje </t>
  </si>
  <si>
    <t>ind</t>
  </si>
  <si>
    <t>Rozdíly z přeměn obchodních korporací (+/-)</t>
  </si>
  <si>
    <t>Rozdíly z ocenění při přeměnách obchodních korporací (+/-)</t>
  </si>
  <si>
    <t>Bewertungsunterschied aus Umwandlungen (+/-)</t>
  </si>
  <si>
    <t>Veränderung der Neubewertungsrücklage bei Umwandlungen (+/-)</t>
  </si>
  <si>
    <t>Jiný výsledek hospodaření minulých let (+/-)</t>
  </si>
  <si>
    <t>Sonstiger Gewinn- /Verlustvortrag (+/-)</t>
  </si>
  <si>
    <t>Výsledek hospodaření běžného účetního období (+/-)</t>
  </si>
  <si>
    <t>Jahresüberschuss / -fehlbetrag (+/-)</t>
  </si>
  <si>
    <t>Změna stavu zásob vlastní činnosti (+/-)</t>
  </si>
  <si>
    <t>Aktivace (-)</t>
  </si>
  <si>
    <t>Aktivierte Eigenleistungen (-)</t>
  </si>
  <si>
    <t>Own work capitalized (-)</t>
  </si>
  <si>
    <t>Change in inventory of own production (+/-)</t>
  </si>
  <si>
    <t>Bestandsveränderung der selbsterstellten Vorräte (+/-)</t>
  </si>
  <si>
    <t>Provozní výsledek hospodaření (+/-)</t>
  </si>
  <si>
    <t>Operating profit loss (+/-)</t>
  </si>
  <si>
    <t>Betriebsergebnis (+/-)</t>
  </si>
  <si>
    <t>Finanční výsledek hospodaření (+/-)</t>
  </si>
  <si>
    <t>Profit (loss) from financial operations (+/-)</t>
  </si>
  <si>
    <t>Finanzergebnis (+/-)</t>
  </si>
  <si>
    <t>Výsledek hospodaření před zdaněním (+/-)</t>
  </si>
  <si>
    <t>Profit / Loss before tax (+/-)</t>
  </si>
  <si>
    <t>Ergebnis vor Steuern (+/-)</t>
  </si>
  <si>
    <t>Výsledek hospodaření po zdanění (+/-)</t>
  </si>
  <si>
    <t>Profit (loss) on after tax (+/-)</t>
  </si>
  <si>
    <t>Ergebnis nach Steuern (+/-)</t>
  </si>
  <si>
    <t>Výsledek hospodaření za účetní období (+/-)</t>
  </si>
  <si>
    <t>Profit / Loss for the accounting period (+/-)</t>
  </si>
  <si>
    <t>Jahresüberschuss/ Jahresfehlbetrag (+/-)</t>
  </si>
  <si>
    <t>Převod podílu na výsledku hospodaření společníkům (+/-)</t>
  </si>
  <si>
    <t>Transfer of profit or loss to partners (+/-)</t>
  </si>
  <si>
    <t>Ergebnisübernahme durch Gesellschafter (+/-)</t>
  </si>
  <si>
    <t>Daň z příjmů odložená (+/-)</t>
  </si>
  <si>
    <t>Income tax defferred (+/-)</t>
  </si>
  <si>
    <t xml:space="preserve"> Latente Steuern  (+/-)</t>
  </si>
  <si>
    <t>Bez jejich vyplnění nebude možné výkazy sestavit!</t>
  </si>
  <si>
    <t>f</t>
  </si>
  <si>
    <t xml:space="preserve"> </t>
  </si>
  <si>
    <t>Výsledek hospodaření minulých let (+/-)      (ř. 96 + 97)</t>
  </si>
  <si>
    <t>Retained earnings (+/-)      (l. 96 + 97)</t>
  </si>
  <si>
    <t>Gewinn-/Verlustvortrag (+/-)      (Z. 96 + 97)</t>
  </si>
  <si>
    <t>Cizí zdroje      (ř. 101 + 106)</t>
  </si>
  <si>
    <t>Liabilities      (l. 101 + 106)</t>
  </si>
  <si>
    <t>Fremdkapital      (Z. 101 + 106)</t>
  </si>
  <si>
    <t>Rezervy      (ř. 102 až 105)</t>
  </si>
  <si>
    <t>Provisions      (l. 102 to 105)</t>
  </si>
  <si>
    <t>Rückstellungen      (Z. 102 to 105)</t>
  </si>
  <si>
    <t>Závazky      (ř. 107 + 122)</t>
  </si>
  <si>
    <t>Liabilities      (l. 107 + 122)</t>
  </si>
  <si>
    <t>Verbindlichkeiten      (Z. 107 + 122)</t>
  </si>
  <si>
    <t>Dlouhodobé závazky      (ř. 108 + 111 až 118)</t>
  </si>
  <si>
    <t>Long-term liabilities      (l. 108 + 111 to 118)</t>
  </si>
  <si>
    <t>Langfristige Verbindlichkeiten      (Z. 108 + 111 bis 118)</t>
  </si>
  <si>
    <t>Krátkodobé závazky      (ř. 123 + 126 až 132)</t>
  </si>
  <si>
    <t>Short-term liabilities      (l. 123 + 126 to 132)</t>
  </si>
  <si>
    <t>Kurzfristige Verbindlichkeiten      (Z. 123 + 126 bis 132)</t>
  </si>
  <si>
    <t>Časové rozlišení pasiv      (ř. 141 + 142)</t>
  </si>
  <si>
    <t>Accruals      (l. 141 + 142)</t>
  </si>
  <si>
    <t>Passive Rechnungsabgrenzungsposten      (Z. 141 + 142)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</si>
</sst>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000"/>
    <numFmt numFmtId="165" formatCode="00"/>
    <numFmt numFmtId="166" formatCode="&quot;IČ:         &quot;\ General"/>
    <numFmt numFmtId="167" formatCode="&quot;+&quot;0;&quot;-&quot;0"/>
    <numFmt numFmtId="168" formatCode="000,000"/>
  </numFmts>
  <fonts count="87" x14ac:knownFonts="1">
    <font>
      <sz val="1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</font>
    <font>
      <sz val="8"/>
      <name val="Calibri"/>
      <family val="2"/>
      <charset val="238"/>
      <scheme val="minor"/>
    </font>
    <font>
      <b/>
      <sz val="8"/>
      <color theme="0"/>
      <name val="Calibri"/>
      <family val="2"/>
      <charset val="238"/>
    </font>
    <font>
      <b/>
      <sz val="8"/>
      <color theme="1"/>
      <name val="Calibri"/>
      <family val="2"/>
      <charset val="238"/>
    </font>
    <font>
      <sz val="10"/>
      <name val="Arial"/>
      <family val="2"/>
      <charset val="238"/>
    </font>
    <font>
      <sz val="10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b/>
      <sz val="8"/>
      <color rgb="FF0000FF"/>
      <name val="Calibri"/>
      <family val="2"/>
      <charset val="238"/>
      <scheme val="minor"/>
    </font>
    <font>
      <sz val="8"/>
      <color rgb="FF0000FF"/>
      <name val="Calibri"/>
      <family val="2"/>
      <charset val="238"/>
      <scheme val="minor"/>
    </font>
    <font>
      <b/>
      <sz val="8"/>
      <name val="Calibri"/>
      <family val="2"/>
      <charset val="238"/>
    </font>
    <font>
      <sz val="8"/>
      <name val="Calibri"/>
      <family val="2"/>
      <charset val="238"/>
    </font>
    <font>
      <sz val="9"/>
      <name val="Calibri"/>
      <family val="2"/>
      <charset val="238"/>
      <scheme val="minor"/>
    </font>
    <font>
      <sz val="10"/>
      <color theme="0" tint="-0.34998626667073579"/>
      <name val="Calibri"/>
      <family val="2"/>
      <charset val="238"/>
      <scheme val="minor"/>
    </font>
    <font>
      <sz val="10"/>
      <color rgb="FF0000FF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8"/>
      <color theme="0"/>
      <name val="Calibri"/>
      <family val="2"/>
      <charset val="238"/>
    </font>
    <font>
      <sz val="9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sz val="10"/>
      <color theme="0" tint="-0.14999847407452621"/>
      <name val="Calibri"/>
      <family val="2"/>
      <charset val="238"/>
      <scheme val="minor"/>
    </font>
    <font>
      <sz val="10"/>
      <color theme="0"/>
      <name val="Calibri"/>
      <family val="2"/>
      <charset val="238"/>
      <scheme val="minor"/>
    </font>
    <font>
      <b/>
      <sz val="10"/>
      <color theme="0" tint="-4.9989318521683403E-2"/>
      <name val="Calibri"/>
      <family val="2"/>
      <charset val="238"/>
      <scheme val="minor"/>
    </font>
    <font>
      <sz val="10"/>
      <color theme="0" tint="-0.499984740745262"/>
      <name val="Calibri"/>
      <family val="2"/>
      <charset val="238"/>
      <scheme val="minor"/>
    </font>
    <font>
      <b/>
      <sz val="10"/>
      <color theme="0" tint="-0.14999847407452621"/>
      <name val="Calibri"/>
      <family val="2"/>
      <charset val="238"/>
      <scheme val="minor"/>
    </font>
    <font>
      <b/>
      <sz val="10"/>
      <color theme="0" tint="-0.34998626667073579"/>
      <name val="Calibri"/>
      <family val="2"/>
      <charset val="238"/>
      <scheme val="minor"/>
    </font>
    <font>
      <sz val="10"/>
      <color theme="4" tint="-0.249977111117893"/>
      <name val="Calibri"/>
      <family val="2"/>
      <charset val="238"/>
      <scheme val="minor"/>
    </font>
    <font>
      <b/>
      <sz val="8"/>
      <color rgb="FF0000FF"/>
      <name val="Calibri"/>
      <family val="2"/>
      <charset val="238"/>
    </font>
    <font>
      <sz val="8"/>
      <color rgb="FF0000FF"/>
      <name val="Calibri"/>
      <family val="2"/>
      <charset val="238"/>
    </font>
    <font>
      <sz val="11"/>
      <color theme="0"/>
      <name val="Calibri"/>
      <family val="2"/>
      <charset val="238"/>
      <scheme val="minor"/>
    </font>
    <font>
      <sz val="2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color theme="5"/>
      <name val="Calibri"/>
      <family val="2"/>
      <charset val="238"/>
      <scheme val="minor"/>
    </font>
    <font>
      <b/>
      <sz val="12"/>
      <color theme="0" tint="-0.499984740745262"/>
      <name val="Calibri"/>
      <family val="2"/>
      <charset val="238"/>
      <scheme val="minor"/>
    </font>
    <font>
      <u/>
      <sz val="10"/>
      <name val="Calibri"/>
      <family val="2"/>
      <charset val="238"/>
      <scheme val="minor"/>
    </font>
    <font>
      <sz val="8"/>
      <color theme="0" tint="-0.34998626667073579"/>
      <name val="Calibri"/>
      <family val="2"/>
      <charset val="238"/>
      <scheme val="minor"/>
    </font>
    <font>
      <sz val="11"/>
      <name val="Calibri"/>
      <family val="2"/>
      <charset val="238"/>
    </font>
    <font>
      <b/>
      <sz val="10"/>
      <color theme="0"/>
      <name val="Calibri"/>
      <family val="2"/>
      <charset val="238"/>
      <scheme val="minor"/>
    </font>
    <font>
      <sz val="7"/>
      <name val="Calibri"/>
      <family val="2"/>
      <charset val="238"/>
      <scheme val="minor"/>
    </font>
    <font>
      <b/>
      <sz val="7"/>
      <name val="Calibri"/>
      <family val="2"/>
      <charset val="238"/>
      <scheme val="minor"/>
    </font>
    <font>
      <b/>
      <sz val="8"/>
      <color theme="0"/>
      <name val="Calibri"/>
      <family val="2"/>
      <charset val="238"/>
      <scheme val="minor"/>
    </font>
    <font>
      <sz val="19"/>
      <name val="Calibri"/>
      <family val="2"/>
      <charset val="238"/>
      <scheme val="minor"/>
    </font>
    <font>
      <b/>
      <sz val="19"/>
      <name val="Calibri"/>
      <family val="2"/>
      <charset val="238"/>
      <scheme val="minor"/>
    </font>
    <font>
      <sz val="8"/>
      <color rgb="FFC00000"/>
      <name val="Calibri"/>
      <family val="2"/>
      <charset val="238"/>
      <scheme val="minor"/>
    </font>
    <font>
      <sz val="10"/>
      <color theme="0" tint="-0.249977111117893"/>
      <name val="Calibri"/>
      <family val="2"/>
      <charset val="238"/>
      <scheme val="minor"/>
    </font>
    <font>
      <sz val="8"/>
      <color theme="0" tint="-0.499984740745262"/>
      <name val="Calibri"/>
      <family val="2"/>
      <charset val="238"/>
      <scheme val="minor"/>
    </font>
    <font>
      <sz val="7"/>
      <color theme="0" tint="-0.499984740745262"/>
      <name val="Calibri"/>
      <family val="2"/>
      <charset val="238"/>
      <scheme val="minor"/>
    </font>
    <font>
      <b/>
      <sz val="10"/>
      <color theme="0" tint="-0.499984740745262"/>
      <name val="Calibri"/>
      <family val="2"/>
      <charset val="238"/>
      <scheme val="minor"/>
    </font>
    <font>
      <b/>
      <sz val="8"/>
      <color theme="0" tint="-0.499984740745262"/>
      <name val="Calibri"/>
      <family val="2"/>
      <charset val="238"/>
      <scheme val="minor"/>
    </font>
    <font>
      <sz val="8"/>
      <color rgb="FF0000FF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i/>
      <sz val="2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i/>
      <sz val="10"/>
      <color theme="0" tint="-0.499984740745262"/>
      <name val="Calibri"/>
      <family val="2"/>
      <charset val="238"/>
      <scheme val="minor"/>
    </font>
    <font>
      <i/>
      <sz val="16"/>
      <color theme="0" tint="-0.499984740745262"/>
      <name val="Calibri"/>
      <family val="2"/>
      <charset val="238"/>
      <scheme val="minor"/>
    </font>
    <font>
      <i/>
      <sz val="14"/>
      <color theme="0" tint="-0.499984740745262"/>
      <name val="Calibri"/>
      <family val="2"/>
      <charset val="238"/>
      <scheme val="minor"/>
    </font>
    <font>
      <sz val="8"/>
      <color rgb="FF0000FF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i/>
      <sz val="10"/>
      <color theme="0" tint="-0.249977111117893"/>
      <name val="Calibri"/>
      <family val="2"/>
      <charset val="238"/>
      <scheme val="minor"/>
    </font>
    <font>
      <sz val="18"/>
      <color theme="0" tint="-0.249977111117893"/>
      <name val="Calibri"/>
      <family val="2"/>
      <charset val="238"/>
      <scheme val="minor"/>
    </font>
    <font>
      <sz val="11"/>
      <color theme="0" tint="-0.249977111117893"/>
      <name val="Calibri"/>
      <family val="2"/>
      <charset val="238"/>
      <scheme val="minor"/>
    </font>
    <font>
      <sz val="20"/>
      <color theme="0" tint="-0.249977111117893"/>
      <name val="Calibri"/>
      <family val="2"/>
      <charset val="238"/>
      <scheme val="minor"/>
    </font>
    <font>
      <i/>
      <sz val="20"/>
      <color theme="0" tint="-0.249977111117893"/>
      <name val="Calibri"/>
      <family val="2"/>
      <charset val="238"/>
      <scheme val="minor"/>
    </font>
    <font>
      <b/>
      <sz val="12"/>
      <color theme="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12"/>
      <color theme="0" tint="-0.34998626667073579"/>
      <name val="Calibri"/>
      <family val="2"/>
      <charset val="238"/>
      <scheme val="minor"/>
    </font>
    <font>
      <b/>
      <sz val="12"/>
      <color theme="0" tint="-4.9989318521683403E-2"/>
      <name val="Calibri"/>
      <family val="2"/>
      <charset val="238"/>
      <scheme val="minor"/>
    </font>
    <font>
      <b/>
      <sz val="12"/>
      <color theme="0" tint="-0.14999847407452621"/>
      <name val="Calibri"/>
      <family val="2"/>
      <charset val="238"/>
      <scheme val="minor"/>
    </font>
    <font>
      <i/>
      <sz val="12"/>
      <color theme="0" tint="-0.249977111117893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i/>
      <sz val="12"/>
      <color theme="0"/>
      <name val="Calibri"/>
      <family val="2"/>
      <charset val="238"/>
      <scheme val="minor"/>
    </font>
    <font>
      <i/>
      <sz val="12"/>
      <color theme="0" tint="-0.499984740745262"/>
      <name val="Calibri"/>
      <family val="2"/>
      <charset val="238"/>
      <scheme val="minor"/>
    </font>
    <font>
      <b/>
      <sz val="10"/>
      <color theme="0" tint="-0.249977111117893"/>
      <name val="Calibri"/>
      <family val="2"/>
      <charset val="238"/>
      <scheme val="minor"/>
    </font>
    <font>
      <sz val="10"/>
      <name val="Calibri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E8F5F8"/>
        <bgColor indexed="64"/>
      </patternFill>
    </fill>
    <fill>
      <patternFill patternType="solid">
        <fgColor theme="8" tint="0.79998168889431442"/>
        <bgColor indexed="64"/>
      </patternFill>
    </fill>
  </fills>
  <borders count="1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ck">
        <color theme="0" tint="-4.9989318521683403E-2"/>
      </left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ck">
        <color theme="0"/>
      </left>
      <right/>
      <top/>
      <bottom/>
      <diagonal/>
    </border>
    <border>
      <left/>
      <right style="thick">
        <color theme="0"/>
      </right>
      <top/>
      <bottom/>
      <diagonal/>
    </border>
    <border>
      <left/>
      <right/>
      <top style="thin">
        <color theme="0" tint="-0.24994659260841701"/>
      </top>
      <bottom/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theme="0" tint="-0.14996795556505021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 style="thin">
        <color theme="0"/>
      </top>
      <bottom style="thin">
        <color theme="0" tint="-0.14996795556505021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theme="0"/>
      </top>
      <bottom style="thin">
        <color theme="0" tint="-0.499984740745262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 tint="-0.24994659260841701"/>
      </top>
      <bottom style="thin">
        <color indexed="64"/>
      </bottom>
      <diagonal/>
    </border>
    <border>
      <left style="thin">
        <color theme="0"/>
      </left>
      <right style="thick">
        <color theme="0"/>
      </right>
      <top/>
      <bottom/>
      <diagonal/>
    </border>
    <border>
      <left style="thin">
        <color theme="0"/>
      </left>
      <right style="thick">
        <color theme="0"/>
      </right>
      <top style="thin">
        <color theme="0" tint="-0.24994659260841701"/>
      </top>
      <bottom/>
      <diagonal/>
    </border>
    <border>
      <left style="thin">
        <color theme="0"/>
      </left>
      <right style="thick">
        <color theme="0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/>
      </left>
      <right style="thick">
        <color theme="0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/>
      </left>
      <right style="thick">
        <color theme="0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/>
      </left>
      <right style="thick">
        <color theme="0"/>
      </right>
      <top/>
      <bottom style="thin">
        <color indexed="64"/>
      </bottom>
      <diagonal/>
    </border>
    <border>
      <left/>
      <right style="thick">
        <color theme="0"/>
      </right>
      <top style="thin">
        <color theme="0" tint="-0.24994659260841701"/>
      </top>
      <bottom/>
      <diagonal/>
    </border>
    <border>
      <left/>
      <right style="thick">
        <color theme="0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ck">
        <color theme="0"/>
      </right>
      <top style="thin">
        <color indexed="64"/>
      </top>
      <bottom style="thin">
        <color theme="0" tint="-0.24994659260841701"/>
      </bottom>
      <diagonal/>
    </border>
    <border>
      <left/>
      <right style="thick">
        <color theme="0"/>
      </right>
      <top/>
      <bottom style="thin">
        <color theme="0"/>
      </bottom>
      <diagonal/>
    </border>
    <border>
      <left/>
      <right style="thick">
        <color theme="0"/>
      </right>
      <top style="thin">
        <color theme="0" tint="-0.24994659260841701"/>
      </top>
      <bottom style="thin">
        <color indexed="64"/>
      </bottom>
      <diagonal/>
    </border>
    <border>
      <left/>
      <right style="thick">
        <color theme="0"/>
      </right>
      <top/>
      <bottom style="thin">
        <color indexed="64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ck">
        <color theme="0"/>
      </left>
      <right/>
      <top style="thin">
        <color theme="0" tint="-0.24994659260841701"/>
      </top>
      <bottom/>
      <diagonal/>
    </border>
    <border>
      <left style="thick">
        <color theme="0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ck">
        <color theme="0"/>
      </left>
      <right/>
      <top style="thin">
        <color indexed="64"/>
      </top>
      <bottom style="thin">
        <color theme="0" tint="-0.24994659260841701"/>
      </bottom>
      <diagonal/>
    </border>
    <border>
      <left style="thick">
        <color theme="0"/>
      </left>
      <right/>
      <top/>
      <bottom style="thin">
        <color indexed="64"/>
      </bottom>
      <diagonal/>
    </border>
  </borders>
  <cellStyleXfs count="10">
    <xf numFmtId="0" fontId="0" fillId="0" borderId="0"/>
    <xf numFmtId="0" fontId="8" fillId="0" borderId="0" applyNumberFormat="0" applyFill="0" applyBorder="0" applyAlignment="0" applyProtection="0"/>
    <xf numFmtId="0" fontId="76" fillId="10" borderId="0" applyNumberFormat="0" applyProtection="0"/>
    <xf numFmtId="0" fontId="48" fillId="10" borderId="116" applyNumberFormat="0" applyAlignment="0" applyProtection="0"/>
    <xf numFmtId="0" fontId="77" fillId="0" borderId="88" applyNumberForma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7" fillId="7" borderId="88" applyNumberFormat="0">
      <alignment vertical="top" wrapText="1"/>
      <protection locked="0"/>
    </xf>
    <xf numFmtId="0" fontId="9" fillId="0" borderId="88" applyNumberFormat="0" applyFont="0" applyFill="0" applyAlignment="0" applyProtection="0"/>
    <xf numFmtId="0" fontId="4" fillId="0" borderId="0"/>
  </cellStyleXfs>
  <cellXfs count="796">
    <xf numFmtId="0" fontId="0" fillId="0" borderId="0" xfId="0"/>
    <xf numFmtId="0" fontId="5" fillId="0" borderId="0" xfId="0" applyFont="1"/>
    <xf numFmtId="0" fontId="7" fillId="0" borderId="0" xfId="0" applyFont="1"/>
    <xf numFmtId="164" fontId="14" fillId="7" borderId="0" xfId="0" applyNumberFormat="1" applyFont="1" applyFill="1" applyAlignment="1">
      <alignment horizontal="center"/>
    </xf>
    <xf numFmtId="164" fontId="6" fillId="4" borderId="0" xfId="0" applyNumberFormat="1" applyFont="1" applyFill="1" applyAlignment="1">
      <alignment horizontal="left"/>
    </xf>
    <xf numFmtId="164" fontId="14" fillId="7" borderId="0" xfId="0" applyNumberFormat="1" applyFont="1" applyFill="1" applyAlignment="1">
      <alignment horizontal="left"/>
    </xf>
    <xf numFmtId="4" fontId="0" fillId="7" borderId="0" xfId="0" applyNumberFormat="1" applyFill="1"/>
    <xf numFmtId="4" fontId="6" fillId="4" borderId="0" xfId="0" applyNumberFormat="1" applyFont="1" applyFill="1"/>
    <xf numFmtId="164" fontId="13" fillId="7" borderId="0" xfId="0" applyNumberFormat="1" applyFont="1" applyFill="1" applyAlignment="1">
      <alignment horizontal="center"/>
    </xf>
    <xf numFmtId="0" fontId="17" fillId="0" borderId="0" xfId="0" applyFont="1" applyAlignment="1">
      <alignment horizontal="center"/>
    </xf>
    <xf numFmtId="0" fontId="9" fillId="0" borderId="0" xfId="0" applyFont="1"/>
    <xf numFmtId="0" fontId="9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0" fontId="12" fillId="0" borderId="0" xfId="0" applyFont="1"/>
    <xf numFmtId="164" fontId="6" fillId="4" borderId="0" xfId="0" applyNumberFormat="1" applyFont="1" applyFill="1"/>
    <xf numFmtId="164" fontId="14" fillId="7" borderId="0" xfId="0" applyNumberFormat="1" applyFont="1" applyFill="1"/>
    <xf numFmtId="0" fontId="25" fillId="0" borderId="0" xfId="0" applyFont="1" applyAlignment="1">
      <alignment horizontal="left"/>
    </xf>
    <xf numFmtId="0" fontId="25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3" fillId="4" borderId="0" xfId="0" applyFont="1" applyFill="1" applyAlignment="1">
      <alignment horizontal="left"/>
    </xf>
    <xf numFmtId="0" fontId="14" fillId="7" borderId="0" xfId="0" applyFont="1" applyFill="1" applyAlignment="1">
      <alignment horizontal="center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/>
    </xf>
    <xf numFmtId="0" fontId="39" fillId="0" borderId="0" xfId="0" applyFont="1" applyAlignment="1">
      <alignment horizontal="left" vertical="center"/>
    </xf>
    <xf numFmtId="0" fontId="39" fillId="0" borderId="0" xfId="0" applyFont="1" applyAlignment="1">
      <alignment vertical="center"/>
    </xf>
    <xf numFmtId="0" fontId="32" fillId="0" borderId="0" xfId="0" applyFont="1" applyAlignment="1">
      <alignment vertical="center"/>
    </xf>
    <xf numFmtId="0" fontId="9" fillId="7" borderId="0" xfId="0" applyFont="1" applyFill="1" applyAlignment="1">
      <alignment vertical="center"/>
    </xf>
    <xf numFmtId="164" fontId="23" fillId="4" borderId="0" xfId="0" applyNumberFormat="1" applyFont="1" applyFill="1"/>
    <xf numFmtId="0" fontId="42" fillId="0" borderId="0" xfId="0" applyFont="1" applyAlignment="1">
      <alignment horizontal="left" vertical="center"/>
    </xf>
    <xf numFmtId="14" fontId="37" fillId="0" borderId="0" xfId="0" applyNumberFormat="1" applyFont="1" applyProtection="1">
      <protection locked="0"/>
    </xf>
    <xf numFmtId="0" fontId="37" fillId="0" borderId="0" xfId="0" applyFont="1" applyProtection="1">
      <protection locked="0"/>
    </xf>
    <xf numFmtId="3" fontId="37" fillId="0" borderId="0" xfId="0" applyNumberFormat="1" applyFont="1" applyProtection="1">
      <protection locked="0"/>
    </xf>
    <xf numFmtId="4" fontId="37" fillId="0" borderId="0" xfId="0" applyNumberFormat="1" applyFont="1" applyAlignment="1" applyProtection="1">
      <alignment horizontal="right"/>
      <protection locked="0"/>
    </xf>
    <xf numFmtId="0" fontId="37" fillId="7" borderId="0" xfId="0" applyFont="1" applyFill="1" applyAlignment="1" applyProtection="1">
      <alignment horizontal="center"/>
      <protection locked="0"/>
    </xf>
    <xf numFmtId="0" fontId="9" fillId="7" borderId="0" xfId="0" applyFont="1" applyFill="1" applyAlignment="1">
      <alignment vertical="top"/>
    </xf>
    <xf numFmtId="0" fontId="9" fillId="7" borderId="0" xfId="0" applyFont="1" applyFill="1" applyAlignment="1">
      <alignment horizontal="right" vertical="top"/>
    </xf>
    <xf numFmtId="0" fontId="9" fillId="0" borderId="0" xfId="0" applyFont="1" applyAlignment="1">
      <alignment vertical="top"/>
    </xf>
    <xf numFmtId="0" fontId="9" fillId="0" borderId="0" xfId="0" applyFont="1" applyAlignment="1">
      <alignment horizontal="right" vertical="top"/>
    </xf>
    <xf numFmtId="0" fontId="27" fillId="2" borderId="0" xfId="0" applyFont="1" applyFill="1" applyAlignment="1">
      <alignment vertical="top"/>
    </xf>
    <xf numFmtId="0" fontId="27" fillId="2" borderId="0" xfId="0" applyFont="1" applyFill="1" applyAlignment="1">
      <alignment horizontal="left" vertical="top" wrapText="1" indent="1"/>
    </xf>
    <xf numFmtId="0" fontId="44" fillId="7" borderId="78" xfId="0" applyFont="1" applyFill="1" applyBorder="1" applyAlignment="1">
      <alignment horizontal="left" vertical="top" wrapText="1" indent="1"/>
    </xf>
    <xf numFmtId="0" fontId="9" fillId="0" borderId="78" xfId="0" applyFont="1" applyBorder="1" applyAlignment="1">
      <alignment horizontal="left" vertical="top" wrapText="1" indent="1"/>
    </xf>
    <xf numFmtId="0" fontId="43" fillId="0" borderId="78" xfId="0" applyFont="1" applyBorder="1" applyAlignment="1">
      <alignment horizontal="left" vertical="top" wrapText="1" indent="1"/>
    </xf>
    <xf numFmtId="0" fontId="9" fillId="0" borderId="78" xfId="0" applyFont="1" applyBorder="1" applyAlignment="1">
      <alignment horizontal="left" vertical="top" indent="1"/>
    </xf>
    <xf numFmtId="0" fontId="43" fillId="0" borderId="78" xfId="0" applyFont="1" applyBorder="1" applyAlignment="1">
      <alignment horizontal="left" vertical="top" indent="1"/>
    </xf>
    <xf numFmtId="0" fontId="9" fillId="0" borderId="78" xfId="0" applyFont="1" applyBorder="1" applyAlignment="1">
      <alignment horizontal="left" vertical="top" indent="2"/>
    </xf>
    <xf numFmtId="0" fontId="45" fillId="0" borderId="78" xfId="0" applyFont="1" applyBorder="1" applyAlignment="1">
      <alignment horizontal="left" vertical="top" indent="2"/>
    </xf>
    <xf numFmtId="0" fontId="45" fillId="0" borderId="78" xfId="0" applyFont="1" applyBorder="1" applyAlignment="1">
      <alignment horizontal="left" vertical="top" indent="1"/>
    </xf>
    <xf numFmtId="0" fontId="9" fillId="0" borderId="0" xfId="0" applyFont="1" applyAlignment="1">
      <alignment horizontal="left" vertical="center" indent="1"/>
    </xf>
    <xf numFmtId="0" fontId="21" fillId="0" borderId="0" xfId="0" applyFont="1" applyProtection="1">
      <protection hidden="1"/>
    </xf>
    <xf numFmtId="0" fontId="22" fillId="0" borderId="0" xfId="0" applyFont="1" applyAlignment="1" applyProtection="1">
      <alignment horizontal="left"/>
      <protection hidden="1"/>
    </xf>
    <xf numFmtId="0" fontId="18" fillId="0" borderId="0" xfId="0" applyFont="1" applyAlignment="1" applyProtection="1">
      <alignment vertical="center"/>
      <protection hidden="1"/>
    </xf>
    <xf numFmtId="0" fontId="3" fillId="0" borderId="0" xfId="0" applyFont="1" applyAlignment="1" applyProtection="1">
      <alignment vertical="top"/>
      <protection hidden="1"/>
    </xf>
    <xf numFmtId="0" fontId="3" fillId="0" borderId="0" xfId="0" applyFont="1" applyAlignment="1" applyProtection="1">
      <alignment horizontal="center" vertical="top"/>
      <protection hidden="1"/>
    </xf>
    <xf numFmtId="0" fontId="3" fillId="0" borderId="0" xfId="0" applyFont="1" applyAlignment="1" applyProtection="1">
      <alignment vertical="center"/>
      <protection hidden="1"/>
    </xf>
    <xf numFmtId="0" fontId="41" fillId="0" borderId="0" xfId="0" applyFont="1" applyAlignment="1" applyProtection="1">
      <alignment horizontal="right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9" fillId="0" borderId="0" xfId="0" applyFont="1" applyAlignment="1" applyProtection="1">
      <alignment horizontal="right" vertical="center"/>
      <protection hidden="1"/>
    </xf>
    <xf numFmtId="166" fontId="41" fillId="0" borderId="0" xfId="0" applyNumberFormat="1" applyFont="1" applyAlignment="1" applyProtection="1">
      <alignment horizontal="right" vertical="center"/>
      <protection hidden="1"/>
    </xf>
    <xf numFmtId="0" fontId="15" fillId="6" borderId="29" xfId="1" applyFont="1" applyFill="1" applyBorder="1" applyAlignment="1" applyProtection="1">
      <alignment horizontal="center"/>
      <protection hidden="1"/>
    </xf>
    <xf numFmtId="0" fontId="15" fillId="6" borderId="1" xfId="1" applyFont="1" applyFill="1" applyBorder="1" applyAlignment="1" applyProtection="1">
      <alignment horizontal="center"/>
      <protection hidden="1"/>
    </xf>
    <xf numFmtId="0" fontId="3" fillId="6" borderId="12" xfId="0" applyFont="1" applyFill="1" applyBorder="1" applyAlignment="1" applyProtection="1">
      <alignment horizontal="center" vertical="center"/>
      <protection hidden="1"/>
    </xf>
    <xf numFmtId="0" fontId="3" fillId="6" borderId="0" xfId="0" applyFont="1" applyFill="1" applyAlignment="1" applyProtection="1">
      <alignment horizontal="center" vertical="center"/>
      <protection hidden="1"/>
    </xf>
    <xf numFmtId="0" fontId="3" fillId="6" borderId="3" xfId="0" applyFont="1" applyFill="1" applyBorder="1" applyAlignment="1" applyProtection="1">
      <alignment horizontal="center" vertical="center"/>
      <protection hidden="1"/>
    </xf>
    <xf numFmtId="0" fontId="3" fillId="6" borderId="5" xfId="0" applyFont="1" applyFill="1" applyBorder="1" applyAlignment="1" applyProtection="1">
      <alignment vertical="center"/>
      <protection hidden="1"/>
    </xf>
    <xf numFmtId="0" fontId="24" fillId="6" borderId="4" xfId="0" applyFont="1" applyFill="1" applyBorder="1" applyAlignment="1" applyProtection="1">
      <alignment horizontal="center" vertical="top"/>
      <protection hidden="1"/>
    </xf>
    <xf numFmtId="0" fontId="15" fillId="6" borderId="46" xfId="1" applyFont="1" applyFill="1" applyBorder="1" applyAlignment="1" applyProtection="1">
      <alignment horizontal="center" vertical="center"/>
      <protection hidden="1"/>
    </xf>
    <xf numFmtId="0" fontId="15" fillId="6" borderId="57" xfId="1" applyFont="1" applyFill="1" applyBorder="1" applyAlignment="1" applyProtection="1">
      <alignment horizontal="center" vertical="center"/>
      <protection hidden="1"/>
    </xf>
    <xf numFmtId="0" fontId="24" fillId="6" borderId="9" xfId="0" applyFont="1" applyFill="1" applyBorder="1" applyAlignment="1" applyProtection="1">
      <alignment horizontal="center" vertical="center"/>
      <protection hidden="1"/>
    </xf>
    <xf numFmtId="0" fontId="24" fillId="6" borderId="8" xfId="0" applyFont="1" applyFill="1" applyBorder="1" applyAlignment="1" applyProtection="1">
      <alignment horizontal="center" vertical="center"/>
      <protection hidden="1"/>
    </xf>
    <xf numFmtId="0" fontId="15" fillId="6" borderId="8" xfId="1" applyFont="1" applyFill="1" applyBorder="1" applyAlignment="1" applyProtection="1">
      <alignment horizontal="center" vertical="center"/>
      <protection hidden="1"/>
    </xf>
    <xf numFmtId="0" fontId="15" fillId="6" borderId="58" xfId="1" applyFont="1" applyFill="1" applyBorder="1" applyAlignment="1" applyProtection="1">
      <alignment horizontal="center" vertical="center"/>
      <protection hidden="1"/>
    </xf>
    <xf numFmtId="3" fontId="27" fillId="8" borderId="68" xfId="1" applyNumberFormat="1" applyFont="1" applyFill="1" applyBorder="1" applyAlignment="1" applyProtection="1">
      <alignment vertical="center"/>
      <protection hidden="1"/>
    </xf>
    <xf numFmtId="3" fontId="27" fillId="8" borderId="70" xfId="1" applyNumberFormat="1" applyFont="1" applyFill="1" applyBorder="1" applyAlignment="1" applyProtection="1">
      <alignment vertical="center"/>
      <protection hidden="1"/>
    </xf>
    <xf numFmtId="0" fontId="19" fillId="0" borderId="0" xfId="1" applyFont="1" applyFill="1" applyBorder="1" applyAlignment="1" applyProtection="1">
      <alignment horizontal="center" vertical="center"/>
      <protection hidden="1"/>
    </xf>
    <xf numFmtId="0" fontId="19" fillId="7" borderId="49" xfId="1" applyFont="1" applyFill="1" applyBorder="1" applyAlignment="1" applyProtection="1">
      <alignment vertical="center" wrapText="1"/>
      <protection hidden="1"/>
    </xf>
    <xf numFmtId="3" fontId="27" fillId="7" borderId="52" xfId="1" applyNumberFormat="1" applyFont="1" applyFill="1" applyBorder="1" applyAlignment="1" applyProtection="1">
      <alignment vertical="center"/>
      <protection hidden="1"/>
    </xf>
    <xf numFmtId="3" fontId="27" fillId="7" borderId="62" xfId="1" applyNumberFormat="1" applyFont="1" applyFill="1" applyBorder="1" applyAlignment="1" applyProtection="1">
      <alignment vertical="center"/>
      <protection hidden="1"/>
    </xf>
    <xf numFmtId="0" fontId="9" fillId="0" borderId="12" xfId="1" applyFont="1" applyFill="1" applyBorder="1" applyAlignment="1" applyProtection="1">
      <alignment horizontal="center" vertical="center"/>
      <protection hidden="1"/>
    </xf>
    <xf numFmtId="0" fontId="9" fillId="0" borderId="0" xfId="1" applyFont="1" applyFill="1" applyBorder="1" applyAlignment="1" applyProtection="1">
      <alignment horizontal="center" vertical="center"/>
      <protection hidden="1"/>
    </xf>
    <xf numFmtId="0" fontId="9" fillId="0" borderId="36" xfId="1" applyFont="1" applyFill="1" applyBorder="1" applyAlignment="1" applyProtection="1">
      <alignment vertical="center" wrapText="1"/>
      <protection hidden="1"/>
    </xf>
    <xf numFmtId="3" fontId="28" fillId="0" borderId="54" xfId="1" applyNumberFormat="1" applyFont="1" applyFill="1" applyBorder="1" applyAlignment="1" applyProtection="1">
      <alignment vertical="center"/>
      <protection hidden="1"/>
    </xf>
    <xf numFmtId="3" fontId="28" fillId="0" borderId="63" xfId="1" applyNumberFormat="1" applyFont="1" applyFill="1" applyBorder="1" applyAlignment="1" applyProtection="1">
      <alignment vertical="center"/>
      <protection hidden="1"/>
    </xf>
    <xf numFmtId="3" fontId="28" fillId="0" borderId="73" xfId="1" applyNumberFormat="1" applyFont="1" applyFill="1" applyBorder="1" applyAlignment="1" applyProtection="1">
      <alignment vertical="center"/>
      <protection hidden="1"/>
    </xf>
    <xf numFmtId="3" fontId="28" fillId="0" borderId="74" xfId="1" applyNumberFormat="1" applyFont="1" applyFill="1" applyBorder="1" applyAlignment="1" applyProtection="1">
      <alignment vertical="center"/>
      <protection hidden="1"/>
    </xf>
    <xf numFmtId="3" fontId="27" fillId="7" borderId="61" xfId="1" applyNumberFormat="1" applyFont="1" applyFill="1" applyBorder="1" applyAlignment="1" applyProtection="1">
      <alignment vertical="center"/>
      <protection hidden="1"/>
    </xf>
    <xf numFmtId="0" fontId="9" fillId="0" borderId="12" xfId="0" applyFont="1" applyBorder="1" applyAlignment="1" applyProtection="1">
      <alignment horizontal="center" vertical="center"/>
      <protection hidden="1"/>
    </xf>
    <xf numFmtId="0" fontId="9" fillId="0" borderId="0" xfId="0" applyFont="1" applyAlignment="1" applyProtection="1">
      <alignment horizontal="center" vertical="center"/>
      <protection hidden="1"/>
    </xf>
    <xf numFmtId="0" fontId="9" fillId="0" borderId="3" xfId="1" applyFont="1" applyFill="1" applyBorder="1" applyAlignment="1" applyProtection="1">
      <alignment horizontal="center" vertical="center"/>
      <protection hidden="1"/>
    </xf>
    <xf numFmtId="0" fontId="9" fillId="6" borderId="36" xfId="1" applyFont="1" applyFill="1" applyBorder="1" applyAlignment="1" applyProtection="1">
      <alignment vertical="center" wrapText="1"/>
      <protection hidden="1"/>
    </xf>
    <xf numFmtId="3" fontId="28" fillId="6" borderId="54" xfId="1" applyNumberFormat="1" applyFont="1" applyFill="1" applyBorder="1" applyAlignment="1" applyProtection="1">
      <alignment vertical="center"/>
      <protection hidden="1"/>
    </xf>
    <xf numFmtId="3" fontId="28" fillId="6" borderId="63" xfId="1" applyNumberFormat="1" applyFont="1" applyFill="1" applyBorder="1" applyAlignment="1" applyProtection="1">
      <alignment vertical="center"/>
      <protection hidden="1"/>
    </xf>
    <xf numFmtId="0" fontId="19" fillId="0" borderId="12" xfId="0" applyFont="1" applyBorder="1" applyAlignment="1" applyProtection="1">
      <alignment horizontal="center" vertical="center"/>
      <protection hidden="1"/>
    </xf>
    <xf numFmtId="0" fontId="19" fillId="0" borderId="0" xfId="0" applyFont="1" applyAlignment="1" applyProtection="1">
      <alignment horizontal="center" vertical="center"/>
      <protection hidden="1"/>
    </xf>
    <xf numFmtId="0" fontId="19" fillId="7" borderId="36" xfId="1" applyFont="1" applyFill="1" applyBorder="1" applyAlignment="1" applyProtection="1">
      <alignment vertical="center" wrapText="1"/>
      <protection hidden="1"/>
    </xf>
    <xf numFmtId="3" fontId="27" fillId="7" borderId="54" xfId="1" applyNumberFormat="1" applyFont="1" applyFill="1" applyBorder="1" applyAlignment="1" applyProtection="1">
      <alignment vertical="center"/>
      <protection hidden="1"/>
    </xf>
    <xf numFmtId="3" fontId="28" fillId="6" borderId="73" xfId="1" applyNumberFormat="1" applyFont="1" applyFill="1" applyBorder="1" applyAlignment="1" applyProtection="1">
      <alignment vertical="center"/>
      <protection hidden="1"/>
    </xf>
    <xf numFmtId="3" fontId="28" fillId="6" borderId="74" xfId="1" applyNumberFormat="1" applyFont="1" applyFill="1" applyBorder="1" applyAlignment="1" applyProtection="1">
      <alignment vertical="center"/>
      <protection hidden="1"/>
    </xf>
    <xf numFmtId="3" fontId="27" fillId="7" borderId="53" xfId="1" applyNumberFormat="1" applyFont="1" applyFill="1" applyBorder="1" applyAlignment="1" applyProtection="1">
      <alignment vertical="center"/>
      <protection hidden="1"/>
    </xf>
    <xf numFmtId="0" fontId="9" fillId="0" borderId="78" xfId="0" applyFont="1" applyBorder="1" applyAlignment="1">
      <alignment horizontal="left" vertical="top" wrapText="1" indent="2"/>
    </xf>
    <xf numFmtId="0" fontId="23" fillId="4" borderId="0" xfId="0" applyFont="1" applyFill="1"/>
    <xf numFmtId="0" fontId="14" fillId="7" borderId="0" xfId="0" applyFont="1" applyFill="1"/>
    <xf numFmtId="3" fontId="38" fillId="0" borderId="0" xfId="0" applyNumberFormat="1" applyFont="1" applyAlignment="1" applyProtection="1">
      <alignment horizontal="center" vertical="center"/>
      <protection hidden="1"/>
    </xf>
    <xf numFmtId="3" fontId="3" fillId="0" borderId="0" xfId="0" applyNumberFormat="1" applyFont="1" applyAlignment="1" applyProtection="1">
      <alignment vertical="center"/>
      <protection hidden="1"/>
    </xf>
    <xf numFmtId="0" fontId="15" fillId="6" borderId="2" xfId="1" applyFont="1" applyFill="1" applyBorder="1" applyAlignment="1" applyProtection="1">
      <alignment horizontal="center" vertical="center"/>
      <protection hidden="1"/>
    </xf>
    <xf numFmtId="0" fontId="15" fillId="6" borderId="3" xfId="1" applyFont="1" applyFill="1" applyBorder="1" applyAlignment="1" applyProtection="1">
      <alignment horizontal="center" vertical="center"/>
      <protection hidden="1"/>
    </xf>
    <xf numFmtId="0" fontId="15" fillId="6" borderId="4" xfId="1" applyFont="1" applyFill="1" applyBorder="1" applyAlignment="1" applyProtection="1">
      <alignment horizontal="center" vertical="center"/>
      <protection hidden="1"/>
    </xf>
    <xf numFmtId="0" fontId="15" fillId="6" borderId="5" xfId="1" applyFont="1" applyFill="1" applyBorder="1" applyAlignment="1" applyProtection="1">
      <alignment horizontal="center" vertical="center"/>
      <protection hidden="1"/>
    </xf>
    <xf numFmtId="0" fontId="15" fillId="6" borderId="6" xfId="1" applyFont="1" applyFill="1" applyBorder="1" applyAlignment="1" applyProtection="1">
      <alignment horizontal="center" vertical="center"/>
      <protection hidden="1"/>
    </xf>
    <xf numFmtId="0" fontId="24" fillId="6" borderId="5" xfId="0" applyFont="1" applyFill="1" applyBorder="1" applyAlignment="1" applyProtection="1">
      <alignment horizontal="center" vertical="center"/>
      <protection hidden="1"/>
    </xf>
    <xf numFmtId="0" fontId="24" fillId="6" borderId="4" xfId="0" applyFont="1" applyFill="1" applyBorder="1" applyAlignment="1" applyProtection="1">
      <alignment horizontal="center" vertical="center"/>
      <protection hidden="1"/>
    </xf>
    <xf numFmtId="0" fontId="15" fillId="6" borderId="75" xfId="1" applyFont="1" applyFill="1" applyBorder="1" applyAlignment="1" applyProtection="1">
      <alignment horizontal="center" vertical="center"/>
      <protection hidden="1"/>
    </xf>
    <xf numFmtId="3" fontId="27" fillId="2" borderId="10" xfId="1" applyNumberFormat="1" applyFont="1" applyFill="1" applyBorder="1" applyAlignment="1" applyProtection="1">
      <alignment vertical="center"/>
      <protection hidden="1"/>
    </xf>
    <xf numFmtId="3" fontId="27" fillId="2" borderId="27" xfId="1" applyNumberFormat="1" applyFont="1" applyFill="1" applyBorder="1" applyAlignment="1" applyProtection="1">
      <alignment vertical="center"/>
      <protection hidden="1"/>
    </xf>
    <xf numFmtId="0" fontId="19" fillId="2" borderId="21" xfId="1" applyFont="1" applyFill="1" applyBorder="1" applyAlignment="1" applyProtection="1">
      <alignment vertical="center" wrapText="1"/>
      <protection hidden="1"/>
    </xf>
    <xf numFmtId="3" fontId="27" fillId="7" borderId="34" xfId="1" applyNumberFormat="1" applyFont="1" applyFill="1" applyBorder="1" applyAlignment="1" applyProtection="1">
      <alignment vertical="center"/>
      <protection hidden="1"/>
    </xf>
    <xf numFmtId="3" fontId="27" fillId="7" borderId="35" xfId="1" applyNumberFormat="1" applyFont="1" applyFill="1" applyBorder="1" applyAlignment="1" applyProtection="1">
      <alignment vertical="center"/>
      <protection hidden="1"/>
    </xf>
    <xf numFmtId="164" fontId="9" fillId="6" borderId="37" xfId="1" applyNumberFormat="1" applyFont="1" applyFill="1" applyBorder="1" applyAlignment="1" applyProtection="1">
      <alignment horizontal="center" vertical="center"/>
      <protection hidden="1"/>
    </xf>
    <xf numFmtId="3" fontId="28" fillId="6" borderId="37" xfId="1" applyNumberFormat="1" applyFont="1" applyFill="1" applyBorder="1" applyAlignment="1" applyProtection="1">
      <alignment vertical="center"/>
      <protection hidden="1"/>
    </xf>
    <xf numFmtId="3" fontId="28" fillId="6" borderId="38" xfId="1" applyNumberFormat="1" applyFont="1" applyFill="1" applyBorder="1" applyAlignment="1" applyProtection="1">
      <alignment vertical="center"/>
      <protection hidden="1"/>
    </xf>
    <xf numFmtId="3" fontId="28" fillId="6" borderId="42" xfId="1" applyNumberFormat="1" applyFont="1" applyFill="1" applyBorder="1" applyAlignment="1" applyProtection="1">
      <alignment vertical="center"/>
      <protection hidden="1"/>
    </xf>
    <xf numFmtId="3" fontId="28" fillId="6" borderId="43" xfId="1" applyNumberFormat="1" applyFont="1" applyFill="1" applyBorder="1" applyAlignment="1" applyProtection="1">
      <alignment vertical="center"/>
      <protection hidden="1"/>
    </xf>
    <xf numFmtId="0" fontId="9" fillId="0" borderId="0" xfId="0" applyFont="1" applyAlignment="1" applyProtection="1">
      <alignment vertical="center"/>
      <protection hidden="1"/>
    </xf>
    <xf numFmtId="0" fontId="42" fillId="0" borderId="0" xfId="0" applyFont="1" applyAlignment="1">
      <alignment horizontal="left"/>
    </xf>
    <xf numFmtId="0" fontId="20" fillId="0" borderId="0" xfId="0" applyFont="1" applyProtection="1">
      <protection hidden="1"/>
    </xf>
    <xf numFmtId="0" fontId="40" fillId="0" borderId="0" xfId="0" applyFont="1" applyAlignment="1" applyProtection="1">
      <alignment horizontal="right"/>
      <protection hidden="1"/>
    </xf>
    <xf numFmtId="0" fontId="18" fillId="0" borderId="0" xfId="0" applyFont="1" applyAlignment="1" applyProtection="1">
      <alignment horizontal="right"/>
      <protection hidden="1"/>
    </xf>
    <xf numFmtId="0" fontId="9" fillId="0" borderId="0" xfId="0" applyFont="1" applyAlignment="1">
      <alignment horizontal="center"/>
    </xf>
    <xf numFmtId="0" fontId="17" fillId="0" borderId="0" xfId="0" applyFont="1" applyAlignment="1" applyProtection="1">
      <alignment horizontal="center" vertical="center"/>
      <protection hidden="1"/>
    </xf>
    <xf numFmtId="0" fontId="15" fillId="6" borderId="76" xfId="1" applyFont="1" applyFill="1" applyBorder="1" applyAlignment="1" applyProtection="1">
      <alignment horizontal="center" vertical="center"/>
      <protection hidden="1"/>
    </xf>
    <xf numFmtId="0" fontId="19" fillId="2" borderId="25" xfId="1" applyFont="1" applyFill="1" applyBorder="1" applyAlignment="1" applyProtection="1">
      <alignment horizontal="center" vertical="center"/>
      <protection hidden="1"/>
    </xf>
    <xf numFmtId="164" fontId="19" fillId="2" borderId="11" xfId="1" applyNumberFormat="1" applyFont="1" applyFill="1" applyBorder="1" applyAlignment="1" applyProtection="1">
      <alignment horizontal="center" vertical="center"/>
      <protection hidden="1"/>
    </xf>
    <xf numFmtId="3" fontId="27" fillId="2" borderId="17" xfId="1" applyNumberFormat="1" applyFont="1" applyFill="1" applyBorder="1" applyAlignment="1" applyProtection="1">
      <alignment vertical="center"/>
      <protection hidden="1"/>
    </xf>
    <xf numFmtId="3" fontId="27" fillId="2" borderId="60" xfId="1" applyNumberFormat="1" applyFont="1" applyFill="1" applyBorder="1" applyAlignment="1" applyProtection="1">
      <alignment vertical="center"/>
      <protection hidden="1"/>
    </xf>
    <xf numFmtId="3" fontId="28" fillId="0" borderId="53" xfId="1" applyNumberFormat="1" applyFont="1" applyFill="1" applyBorder="1" applyAlignment="1" applyProtection="1">
      <alignment vertical="center"/>
      <protection hidden="1"/>
    </xf>
    <xf numFmtId="3" fontId="28" fillId="0" borderId="62" xfId="1" applyNumberFormat="1" applyFont="1" applyFill="1" applyBorder="1" applyAlignment="1" applyProtection="1">
      <alignment vertical="center"/>
      <protection hidden="1"/>
    </xf>
    <xf numFmtId="164" fontId="9" fillId="0" borderId="37" xfId="1" applyNumberFormat="1" applyFont="1" applyFill="1" applyBorder="1" applyAlignment="1" applyProtection="1">
      <alignment horizontal="center" vertical="center"/>
      <protection hidden="1"/>
    </xf>
    <xf numFmtId="0" fontId="19" fillId="2" borderId="16" xfId="1" applyFont="1" applyFill="1" applyBorder="1" applyAlignment="1" applyProtection="1">
      <alignment horizontal="center" vertical="center"/>
      <protection hidden="1"/>
    </xf>
    <xf numFmtId="3" fontId="9" fillId="0" borderId="0" xfId="0" applyNumberFormat="1" applyFont="1" applyAlignment="1" applyProtection="1">
      <alignment horizontal="right" vertical="center"/>
      <protection hidden="1"/>
    </xf>
    <xf numFmtId="0" fontId="32" fillId="0" borderId="78" xfId="0" applyFont="1" applyBorder="1" applyAlignment="1">
      <alignment horizontal="left" vertical="top" indent="1"/>
    </xf>
    <xf numFmtId="0" fontId="45" fillId="0" borderId="78" xfId="0" applyFont="1" applyBorder="1" applyAlignment="1">
      <alignment horizontal="left" vertical="top" wrapText="1" indent="1"/>
    </xf>
    <xf numFmtId="0" fontId="9" fillId="0" borderId="0" xfId="0" applyFont="1" applyAlignment="1">
      <alignment horizontal="left" vertical="top" wrapText="1" indent="1"/>
    </xf>
    <xf numFmtId="0" fontId="9" fillId="0" borderId="0" xfId="0" applyFont="1" applyAlignment="1">
      <alignment horizontal="left" vertical="top" indent="2"/>
    </xf>
    <xf numFmtId="0" fontId="9" fillId="0" borderId="0" xfId="0" applyFont="1" applyAlignment="1">
      <alignment horizontal="left" vertical="top"/>
    </xf>
    <xf numFmtId="3" fontId="28" fillId="0" borderId="56" xfId="1" applyNumberFormat="1" applyFont="1" applyFill="1" applyBorder="1" applyAlignment="1" applyProtection="1">
      <alignment vertical="center"/>
      <protection hidden="1"/>
    </xf>
    <xf numFmtId="3" fontId="28" fillId="0" borderId="65" xfId="1" applyNumberFormat="1" applyFont="1" applyFill="1" applyBorder="1" applyAlignment="1" applyProtection="1">
      <alignment vertical="center"/>
      <protection hidden="1"/>
    </xf>
    <xf numFmtId="0" fontId="19" fillId="2" borderId="17" xfId="1" applyFont="1" applyFill="1" applyBorder="1" applyAlignment="1" applyProtection="1">
      <alignment horizontal="center" vertical="center"/>
      <protection hidden="1"/>
    </xf>
    <xf numFmtId="165" fontId="11" fillId="3" borderId="0" xfId="0" applyNumberFormat="1" applyFont="1" applyFill="1" applyAlignment="1">
      <alignment vertical="top"/>
    </xf>
    <xf numFmtId="0" fontId="11" fillId="3" borderId="0" xfId="0" applyFont="1" applyFill="1" applyAlignment="1">
      <alignment vertical="top"/>
    </xf>
    <xf numFmtId="0" fontId="11" fillId="3" borderId="0" xfId="0" applyFont="1" applyFill="1" applyAlignment="1">
      <alignment horizontal="center" vertical="top"/>
    </xf>
    <xf numFmtId="0" fontId="10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5" fillId="0" borderId="0" xfId="0" applyFont="1" applyAlignment="1">
      <alignment horizontal="right" vertical="top"/>
    </xf>
    <xf numFmtId="165" fontId="12" fillId="0" borderId="0" xfId="0" applyNumberFormat="1" applyFont="1" applyAlignment="1">
      <alignment vertical="top"/>
    </xf>
    <xf numFmtId="0" fontId="12" fillId="0" borderId="0" xfId="0" applyFont="1" applyAlignment="1">
      <alignment vertical="top"/>
    </xf>
    <xf numFmtId="0" fontId="12" fillId="0" borderId="0" xfId="0" applyFont="1" applyAlignment="1">
      <alignment horizontal="center" vertical="top"/>
    </xf>
    <xf numFmtId="0" fontId="12" fillId="0" borderId="0" xfId="0" applyFont="1" applyAlignment="1">
      <alignment vertical="top" wrapText="1"/>
    </xf>
    <xf numFmtId="0" fontId="5" fillId="0" borderId="0" xfId="0" applyFont="1" applyAlignment="1">
      <alignment vertical="top" wrapText="1"/>
    </xf>
    <xf numFmtId="3" fontId="10" fillId="0" borderId="0" xfId="0" applyNumberFormat="1" applyFont="1" applyAlignment="1">
      <alignment horizontal="right" vertical="top" wrapText="1"/>
    </xf>
    <xf numFmtId="3" fontId="5" fillId="0" borderId="0" xfId="0" applyNumberFormat="1" applyFont="1" applyAlignment="1">
      <alignment horizontal="right" vertical="top" wrapText="1"/>
    </xf>
    <xf numFmtId="3" fontId="5" fillId="0" borderId="13" xfId="0" applyNumberFormat="1" applyFont="1" applyBorder="1" applyAlignment="1">
      <alignment horizontal="right" vertical="top" wrapText="1"/>
    </xf>
    <xf numFmtId="3" fontId="5" fillId="0" borderId="79" xfId="0" applyNumberFormat="1" applyFont="1" applyBorder="1" applyAlignment="1">
      <alignment horizontal="right" vertical="top" wrapText="1"/>
    </xf>
    <xf numFmtId="3" fontId="10" fillId="0" borderId="80" xfId="0" applyNumberFormat="1" applyFont="1" applyBorder="1" applyAlignment="1">
      <alignment horizontal="right" vertical="top" wrapText="1"/>
    </xf>
    <xf numFmtId="167" fontId="5" fillId="0" borderId="0" xfId="0" applyNumberFormat="1" applyFont="1" applyAlignment="1">
      <alignment horizontal="center" vertical="top" wrapText="1"/>
    </xf>
    <xf numFmtId="167" fontId="5" fillId="0" borderId="0" xfId="0" applyNumberFormat="1" applyFont="1" applyAlignment="1">
      <alignment horizontal="center" vertical="top"/>
    </xf>
    <xf numFmtId="0" fontId="10" fillId="0" borderId="0" xfId="0" applyFont="1" applyAlignment="1">
      <alignment vertical="top" wrapText="1"/>
    </xf>
    <xf numFmtId="167" fontId="10" fillId="0" borderId="0" xfId="0" applyNumberFormat="1" applyFont="1" applyAlignment="1">
      <alignment horizontal="center" vertical="top" wrapText="1"/>
    </xf>
    <xf numFmtId="3" fontId="49" fillId="2" borderId="0" xfId="0" applyNumberFormat="1" applyFont="1" applyFill="1" applyAlignment="1">
      <alignment horizontal="right" wrapText="1"/>
    </xf>
    <xf numFmtId="0" fontId="49" fillId="0" borderId="0" xfId="0" applyFont="1" applyAlignment="1">
      <alignment horizontal="center" vertical="top"/>
    </xf>
    <xf numFmtId="168" fontId="9" fillId="0" borderId="0" xfId="0" applyNumberFormat="1" applyFont="1" applyAlignment="1">
      <alignment horizontal="right"/>
    </xf>
    <xf numFmtId="0" fontId="5" fillId="7" borderId="83" xfId="0" applyFont="1" applyFill="1" applyBorder="1" applyAlignment="1">
      <alignment vertical="top"/>
    </xf>
    <xf numFmtId="0" fontId="5" fillId="7" borderId="83" xfId="0" applyFont="1" applyFill="1" applyBorder="1" applyAlignment="1">
      <alignment vertical="top" wrapText="1"/>
    </xf>
    <xf numFmtId="167" fontId="5" fillId="7" borderId="83" xfId="0" applyNumberFormat="1" applyFont="1" applyFill="1" applyBorder="1" applyAlignment="1">
      <alignment horizontal="center" vertical="top" wrapText="1"/>
    </xf>
    <xf numFmtId="0" fontId="10" fillId="2" borderId="0" xfId="0" applyFont="1" applyFill="1" applyAlignment="1">
      <alignment vertical="top"/>
    </xf>
    <xf numFmtId="0" fontId="10" fillId="2" borderId="0" xfId="0" applyFont="1" applyFill="1" applyAlignment="1">
      <alignment vertical="top" wrapText="1"/>
    </xf>
    <xf numFmtId="167" fontId="10" fillId="2" borderId="0" xfId="0" applyNumberFormat="1" applyFont="1" applyFill="1" applyAlignment="1">
      <alignment horizontal="center" vertical="top" wrapText="1"/>
    </xf>
    <xf numFmtId="0" fontId="10" fillId="8" borderId="13" xfId="0" applyFont="1" applyFill="1" applyBorder="1" applyAlignment="1">
      <alignment vertical="top"/>
    </xf>
    <xf numFmtId="0" fontId="10" fillId="8" borderId="13" xfId="0" applyFont="1" applyFill="1" applyBorder="1" applyAlignment="1">
      <alignment vertical="top" wrapText="1"/>
    </xf>
    <xf numFmtId="167" fontId="10" fillId="8" borderId="13" xfId="0" applyNumberFormat="1" applyFont="1" applyFill="1" applyBorder="1" applyAlignment="1">
      <alignment horizontal="center" vertical="top" wrapText="1"/>
    </xf>
    <xf numFmtId="0" fontId="51" fillId="10" borderId="84" xfId="0" applyFont="1" applyFill="1" applyBorder="1" applyAlignment="1">
      <alignment vertical="top"/>
    </xf>
    <xf numFmtId="0" fontId="51" fillId="10" borderId="84" xfId="0" applyFont="1" applyFill="1" applyBorder="1" applyAlignment="1">
      <alignment vertical="top" wrapText="1"/>
    </xf>
    <xf numFmtId="167" fontId="51" fillId="10" borderId="84" xfId="0" applyNumberFormat="1" applyFont="1" applyFill="1" applyBorder="1" applyAlignment="1">
      <alignment horizontal="center" vertical="top" wrapText="1"/>
    </xf>
    <xf numFmtId="0" fontId="51" fillId="10" borderId="0" xfId="0" applyFont="1" applyFill="1" applyAlignment="1">
      <alignment vertical="top" wrapText="1"/>
    </xf>
    <xf numFmtId="167" fontId="51" fillId="10" borderId="0" xfId="0" applyNumberFormat="1" applyFont="1" applyFill="1" applyAlignment="1">
      <alignment horizontal="center" vertical="top" wrapText="1"/>
    </xf>
    <xf numFmtId="0" fontId="51" fillId="10" borderId="0" xfId="0" applyFont="1" applyFill="1" applyAlignment="1">
      <alignment vertical="top"/>
    </xf>
    <xf numFmtId="0" fontId="49" fillId="2" borderId="0" xfId="0" applyFont="1" applyFill="1" applyAlignment="1">
      <alignment horizontal="center" vertical="top"/>
    </xf>
    <xf numFmtId="0" fontId="49" fillId="2" borderId="0" xfId="0" applyFont="1" applyFill="1" applyAlignment="1">
      <alignment horizontal="center" vertical="top" wrapText="1"/>
    </xf>
    <xf numFmtId="167" fontId="49" fillId="2" borderId="0" xfId="0" applyNumberFormat="1" applyFont="1" applyFill="1" applyAlignment="1">
      <alignment horizontal="center" vertical="top" wrapText="1"/>
    </xf>
    <xf numFmtId="0" fontId="5" fillId="2" borderId="0" xfId="0" applyFont="1" applyFill="1"/>
    <xf numFmtId="0" fontId="5" fillId="2" borderId="0" xfId="0" applyFont="1" applyFill="1" applyAlignment="1">
      <alignment wrapText="1"/>
    </xf>
    <xf numFmtId="167" fontId="5" fillId="2" borderId="0" xfId="0" applyNumberFormat="1" applyFont="1" applyFill="1" applyAlignment="1">
      <alignment horizontal="center" wrapText="1"/>
    </xf>
    <xf numFmtId="3" fontId="49" fillId="2" borderId="0" xfId="0" applyNumberFormat="1" applyFont="1" applyFill="1" applyAlignment="1">
      <alignment horizontal="right" vertical="top"/>
    </xf>
    <xf numFmtId="3" fontId="5" fillId="0" borderId="0" xfId="0" applyNumberFormat="1" applyFont="1" applyAlignment="1">
      <alignment horizontal="right" vertical="top"/>
    </xf>
    <xf numFmtId="3" fontId="51" fillId="10" borderId="0" xfId="0" applyNumberFormat="1" applyFont="1" applyFill="1" applyAlignment="1">
      <alignment horizontal="right" vertical="top"/>
    </xf>
    <xf numFmtId="3" fontId="5" fillId="7" borderId="83" xfId="0" applyNumberFormat="1" applyFont="1" applyFill="1" applyBorder="1" applyAlignment="1">
      <alignment horizontal="right" vertical="top" wrapText="1"/>
    </xf>
    <xf numFmtId="3" fontId="51" fillId="10" borderId="84" xfId="0" applyNumberFormat="1" applyFont="1" applyFill="1" applyBorder="1" applyAlignment="1">
      <alignment horizontal="right" vertical="top"/>
    </xf>
    <xf numFmtId="3" fontId="10" fillId="2" borderId="0" xfId="0" applyNumberFormat="1" applyFont="1" applyFill="1" applyAlignment="1">
      <alignment horizontal="right" vertical="top" wrapText="1"/>
    </xf>
    <xf numFmtId="3" fontId="10" fillId="8" borderId="13" xfId="0" applyNumberFormat="1" applyFont="1" applyFill="1" applyBorder="1" applyAlignment="1">
      <alignment horizontal="right" vertical="top" wrapText="1"/>
    </xf>
    <xf numFmtId="3" fontId="12" fillId="0" borderId="0" xfId="0" applyNumberFormat="1" applyFont="1" applyAlignment="1">
      <alignment horizontal="right" vertical="top"/>
    </xf>
    <xf numFmtId="0" fontId="5" fillId="2" borderId="0" xfId="0" applyFont="1" applyFill="1" applyAlignment="1">
      <alignment horizontal="center"/>
    </xf>
    <xf numFmtId="0" fontId="5" fillId="0" borderId="0" xfId="0" applyFont="1" applyAlignment="1">
      <alignment horizontal="center" vertical="top"/>
    </xf>
    <xf numFmtId="0" fontId="51" fillId="10" borderId="0" xfId="0" applyFont="1" applyFill="1" applyAlignment="1">
      <alignment horizontal="center" vertical="top"/>
    </xf>
    <xf numFmtId="0" fontId="5" fillId="7" borderId="83" xfId="0" applyFont="1" applyFill="1" applyBorder="1" applyAlignment="1">
      <alignment horizontal="center" vertical="top"/>
    </xf>
    <xf numFmtId="0" fontId="51" fillId="10" borderId="84" xfId="0" applyFont="1" applyFill="1" applyBorder="1" applyAlignment="1">
      <alignment horizontal="center" vertical="top"/>
    </xf>
    <xf numFmtId="0" fontId="10" fillId="2" borderId="0" xfId="0" applyFont="1" applyFill="1" applyAlignment="1">
      <alignment horizontal="center" vertical="top"/>
    </xf>
    <xf numFmtId="0" fontId="10" fillId="8" borderId="13" xfId="0" applyFont="1" applyFill="1" applyBorder="1" applyAlignment="1">
      <alignment horizontal="center" vertical="top"/>
    </xf>
    <xf numFmtId="0" fontId="10" fillId="0" borderId="0" xfId="0" applyFont="1" applyAlignment="1">
      <alignment horizontal="center" vertical="top"/>
    </xf>
    <xf numFmtId="0" fontId="19" fillId="7" borderId="0" xfId="1" applyFont="1" applyFill="1" applyBorder="1" applyAlignment="1" applyProtection="1">
      <alignment horizontal="center" vertical="center"/>
      <protection hidden="1"/>
    </xf>
    <xf numFmtId="0" fontId="19" fillId="7" borderId="3" xfId="1" applyFont="1" applyFill="1" applyBorder="1" applyAlignment="1" applyProtection="1">
      <alignment horizontal="center" vertical="center"/>
      <protection hidden="1"/>
    </xf>
    <xf numFmtId="164" fontId="19" fillId="7" borderId="50" xfId="1" applyNumberFormat="1" applyFont="1" applyFill="1" applyBorder="1" applyAlignment="1" applyProtection="1">
      <alignment horizontal="center" vertical="center"/>
      <protection hidden="1"/>
    </xf>
    <xf numFmtId="0" fontId="19" fillId="7" borderId="12" xfId="1" applyFont="1" applyFill="1" applyBorder="1" applyAlignment="1" applyProtection="1">
      <alignment horizontal="center" vertical="center"/>
      <protection hidden="1"/>
    </xf>
    <xf numFmtId="0" fontId="19" fillId="0" borderId="20" xfId="1" applyFont="1" applyFill="1" applyBorder="1" applyAlignment="1" applyProtection="1">
      <alignment horizontal="center" vertical="center"/>
      <protection hidden="1"/>
    </xf>
    <xf numFmtId="0" fontId="19" fillId="0" borderId="29" xfId="1" applyFont="1" applyFill="1" applyBorder="1" applyAlignment="1" applyProtection="1">
      <alignment vertical="center" wrapText="1"/>
      <protection hidden="1"/>
    </xf>
    <xf numFmtId="164" fontId="19" fillId="0" borderId="1" xfId="1" applyNumberFormat="1" applyFont="1" applyFill="1" applyBorder="1" applyAlignment="1" applyProtection="1">
      <alignment horizontal="center" vertical="center"/>
      <protection hidden="1"/>
    </xf>
    <xf numFmtId="3" fontId="27" fillId="0" borderId="26" xfId="1" applyNumberFormat="1" applyFont="1" applyFill="1" applyBorder="1" applyAlignment="1" applyProtection="1">
      <alignment vertical="center"/>
      <protection hidden="1"/>
    </xf>
    <xf numFmtId="3" fontId="27" fillId="0" borderId="85" xfId="1" applyNumberFormat="1" applyFont="1" applyFill="1" applyBorder="1" applyAlignment="1" applyProtection="1">
      <alignment vertical="center"/>
      <protection hidden="1"/>
    </xf>
    <xf numFmtId="0" fontId="19" fillId="2" borderId="22" xfId="0" applyFont="1" applyFill="1" applyBorder="1" applyAlignment="1" applyProtection="1">
      <alignment horizontal="center" vertical="center"/>
      <protection hidden="1"/>
    </xf>
    <xf numFmtId="0" fontId="19" fillId="2" borderId="13" xfId="0" applyFont="1" applyFill="1" applyBorder="1" applyAlignment="1" applyProtection="1">
      <alignment horizontal="center" vertical="center"/>
      <protection hidden="1"/>
    </xf>
    <xf numFmtId="0" fontId="19" fillId="2" borderId="13" xfId="1" applyFont="1" applyFill="1" applyBorder="1" applyAlignment="1" applyProtection="1">
      <alignment horizontal="center" vertical="center"/>
      <protection hidden="1"/>
    </xf>
    <xf numFmtId="0" fontId="19" fillId="2" borderId="39" xfId="1" applyFont="1" applyFill="1" applyBorder="1" applyAlignment="1" applyProtection="1">
      <alignment vertical="center" wrapText="1"/>
      <protection hidden="1"/>
    </xf>
    <xf numFmtId="164" fontId="19" fillId="2" borderId="40" xfId="1" applyNumberFormat="1" applyFont="1" applyFill="1" applyBorder="1" applyAlignment="1" applyProtection="1">
      <alignment horizontal="center" vertical="center"/>
      <protection hidden="1"/>
    </xf>
    <xf numFmtId="3" fontId="27" fillId="2" borderId="55" xfId="1" applyNumberFormat="1" applyFont="1" applyFill="1" applyBorder="1" applyAlignment="1" applyProtection="1">
      <alignment vertical="center"/>
      <protection hidden="1"/>
    </xf>
    <xf numFmtId="3" fontId="27" fillId="2" borderId="64" xfId="1" applyNumberFormat="1" applyFont="1" applyFill="1" applyBorder="1" applyAlignment="1" applyProtection="1">
      <alignment vertical="center"/>
      <protection hidden="1"/>
    </xf>
    <xf numFmtId="0" fontId="19" fillId="0" borderId="0" xfId="0" applyFont="1" applyAlignment="1">
      <alignment vertical="center"/>
    </xf>
    <xf numFmtId="0" fontId="10" fillId="2" borderId="86" xfId="0" applyFont="1" applyFill="1" applyBorder="1" applyAlignment="1">
      <alignment horizontal="center" vertical="top"/>
    </xf>
    <xf numFmtId="0" fontId="10" fillId="2" borderId="86" xfId="0" applyFont="1" applyFill="1" applyBorder="1" applyAlignment="1">
      <alignment vertical="top"/>
    </xf>
    <xf numFmtId="0" fontId="10" fillId="2" borderId="86" xfId="0" applyFont="1" applyFill="1" applyBorder="1" applyAlignment="1">
      <alignment vertical="top" wrapText="1"/>
    </xf>
    <xf numFmtId="167" fontId="10" fillId="2" borderId="86" xfId="0" applyNumberFormat="1" applyFont="1" applyFill="1" applyBorder="1" applyAlignment="1">
      <alignment horizontal="center" vertical="top" wrapText="1"/>
    </xf>
    <xf numFmtId="3" fontId="10" fillId="2" borderId="86" xfId="0" applyNumberFormat="1" applyFont="1" applyFill="1" applyBorder="1" applyAlignment="1">
      <alignment horizontal="right" vertical="top" wrapText="1"/>
    </xf>
    <xf numFmtId="164" fontId="19" fillId="7" borderId="37" xfId="1" applyNumberFormat="1" applyFont="1" applyFill="1" applyBorder="1" applyAlignment="1" applyProtection="1">
      <alignment horizontal="center" vertical="center"/>
      <protection hidden="1"/>
    </xf>
    <xf numFmtId="0" fontId="19" fillId="2" borderId="14" xfId="1" applyFont="1" applyFill="1" applyBorder="1" applyAlignment="1" applyProtection="1">
      <alignment horizontal="center" vertical="center"/>
      <protection hidden="1"/>
    </xf>
    <xf numFmtId="0" fontId="19" fillId="2" borderId="28" xfId="0" applyFont="1" applyFill="1" applyBorder="1" applyAlignment="1" applyProtection="1">
      <alignment horizontal="center" vertical="center"/>
      <protection hidden="1"/>
    </xf>
    <xf numFmtId="0" fontId="19" fillId="2" borderId="14" xfId="0" applyFont="1" applyFill="1" applyBorder="1" applyAlignment="1" applyProtection="1">
      <alignment horizontal="center" vertical="center"/>
      <protection hidden="1"/>
    </xf>
    <xf numFmtId="0" fontId="19" fillId="2" borderId="0" xfId="1" applyFont="1" applyFill="1" applyBorder="1" applyAlignment="1" applyProtection="1">
      <alignment horizontal="center" vertical="center"/>
      <protection hidden="1"/>
    </xf>
    <xf numFmtId="0" fontId="19" fillId="2" borderId="9" xfId="1" applyFont="1" applyFill="1" applyBorder="1" applyAlignment="1" applyProtection="1">
      <alignment vertical="center" wrapText="1"/>
      <protection hidden="1"/>
    </xf>
    <xf numFmtId="164" fontId="19" fillId="2" borderId="8" xfId="1" applyNumberFormat="1" applyFont="1" applyFill="1" applyBorder="1" applyAlignment="1" applyProtection="1">
      <alignment horizontal="center" vertical="center"/>
      <protection hidden="1"/>
    </xf>
    <xf numFmtId="3" fontId="27" fillId="2" borderId="7" xfId="1" applyNumberFormat="1" applyFont="1" applyFill="1" applyBorder="1" applyAlignment="1" applyProtection="1">
      <alignment vertical="center"/>
      <protection hidden="1"/>
    </xf>
    <xf numFmtId="3" fontId="27" fillId="2" borderId="58" xfId="1" applyNumberFormat="1" applyFont="1" applyFill="1" applyBorder="1" applyAlignment="1" applyProtection="1">
      <alignment vertical="center"/>
      <protection hidden="1"/>
    </xf>
    <xf numFmtId="0" fontId="19" fillId="2" borderId="5" xfId="1" applyFont="1" applyFill="1" applyBorder="1" applyAlignment="1" applyProtection="1">
      <alignment vertical="center" wrapText="1"/>
      <protection hidden="1"/>
    </xf>
    <xf numFmtId="164" fontId="19" fillId="2" borderId="4" xfId="1" applyNumberFormat="1" applyFont="1" applyFill="1" applyBorder="1" applyAlignment="1" applyProtection="1">
      <alignment horizontal="center" vertical="center"/>
      <protection hidden="1"/>
    </xf>
    <xf numFmtId="3" fontId="27" fillId="2" borderId="3" xfId="1" applyNumberFormat="1" applyFont="1" applyFill="1" applyBorder="1" applyAlignment="1" applyProtection="1">
      <alignment vertical="center"/>
      <protection hidden="1"/>
    </xf>
    <xf numFmtId="3" fontId="27" fillId="2" borderId="76" xfId="1" applyNumberFormat="1" applyFont="1" applyFill="1" applyBorder="1" applyAlignment="1" applyProtection="1">
      <alignment vertical="center"/>
      <protection hidden="1"/>
    </xf>
    <xf numFmtId="0" fontId="19" fillId="2" borderId="12" xfId="1" applyFont="1" applyFill="1" applyBorder="1" applyAlignment="1" applyProtection="1">
      <alignment horizontal="center" vertical="center"/>
      <protection hidden="1"/>
    </xf>
    <xf numFmtId="0" fontId="19" fillId="0" borderId="19" xfId="1" applyFont="1" applyFill="1" applyBorder="1" applyAlignment="1" applyProtection="1">
      <alignment horizontal="center" vertical="center"/>
      <protection hidden="1"/>
    </xf>
    <xf numFmtId="0" fontId="29" fillId="0" borderId="0" xfId="0" applyFont="1" applyAlignment="1" applyProtection="1">
      <alignment horizontal="center"/>
      <protection hidden="1"/>
    </xf>
    <xf numFmtId="0" fontId="29" fillId="0" borderId="0" xfId="0" applyFont="1" applyAlignment="1" applyProtection="1">
      <alignment horizontal="left"/>
      <protection hidden="1"/>
    </xf>
    <xf numFmtId="0" fontId="25" fillId="0" borderId="0" xfId="0" applyFont="1" applyAlignment="1" applyProtection="1">
      <alignment horizontal="left"/>
      <protection hidden="1"/>
    </xf>
    <xf numFmtId="0" fontId="9" fillId="0" borderId="0" xfId="0" applyFont="1" applyProtection="1">
      <protection hidden="1"/>
    </xf>
    <xf numFmtId="0" fontId="29" fillId="0" borderId="0" xfId="0" applyFont="1" applyAlignment="1" applyProtection="1">
      <alignment horizontal="center" vertical="center"/>
      <protection hidden="1"/>
    </xf>
    <xf numFmtId="0" fontId="29" fillId="0" borderId="0" xfId="0" applyFont="1" applyAlignment="1" applyProtection="1">
      <alignment horizontal="left" vertical="center"/>
      <protection hidden="1"/>
    </xf>
    <xf numFmtId="0" fontId="2" fillId="0" borderId="0" xfId="0" applyFont="1" applyAlignment="1" applyProtection="1">
      <alignment horizontal="left" vertical="top"/>
      <protection hidden="1"/>
    </xf>
    <xf numFmtId="0" fontId="2" fillId="0" borderId="0" xfId="0" applyFont="1" applyAlignment="1" applyProtection="1">
      <alignment horizontal="left" vertical="center"/>
      <protection hidden="1"/>
    </xf>
    <xf numFmtId="0" fontId="25" fillId="0" borderId="0" xfId="0" applyFont="1" applyAlignment="1" applyProtection="1">
      <alignment horizontal="left" vertical="center"/>
      <protection hidden="1"/>
    </xf>
    <xf numFmtId="0" fontId="26" fillId="0" borderId="0" xfId="0" applyFont="1" applyAlignment="1" applyProtection="1">
      <alignment horizontal="left" vertical="center"/>
      <protection hidden="1"/>
    </xf>
    <xf numFmtId="0" fontId="52" fillId="0" borderId="0" xfId="0" applyFont="1" applyAlignment="1" applyProtection="1">
      <alignment vertical="center"/>
      <protection hidden="1"/>
    </xf>
    <xf numFmtId="0" fontId="52" fillId="0" borderId="0" xfId="0" applyFont="1" applyProtection="1">
      <protection hidden="1"/>
    </xf>
    <xf numFmtId="0" fontId="33" fillId="0" borderId="0" xfId="0" applyFont="1" applyAlignment="1" applyProtection="1">
      <alignment horizontal="center" vertical="center"/>
      <protection hidden="1"/>
    </xf>
    <xf numFmtId="0" fontId="33" fillId="0" borderId="0" xfId="0" applyFont="1" applyAlignment="1" applyProtection="1">
      <alignment horizontal="left" vertical="center"/>
      <protection hidden="1"/>
    </xf>
    <xf numFmtId="0" fontId="53" fillId="0" borderId="0" xfId="0" applyFont="1" applyAlignment="1" applyProtection="1">
      <alignment vertical="center"/>
      <protection hidden="1"/>
    </xf>
    <xf numFmtId="0" fontId="19" fillId="0" borderId="0" xfId="0" applyFont="1" applyAlignment="1" applyProtection="1">
      <alignment vertical="center"/>
      <protection hidden="1"/>
    </xf>
    <xf numFmtId="3" fontId="28" fillId="0" borderId="63" xfId="1" applyNumberFormat="1" applyFont="1" applyFill="1" applyBorder="1" applyAlignment="1" applyProtection="1">
      <alignment vertical="center"/>
      <protection locked="0" hidden="1"/>
    </xf>
    <xf numFmtId="3" fontId="28" fillId="6" borderId="63" xfId="1" applyNumberFormat="1" applyFont="1" applyFill="1" applyBorder="1" applyAlignment="1" applyProtection="1">
      <alignment vertical="center"/>
      <protection locked="0" hidden="1"/>
    </xf>
    <xf numFmtId="0" fontId="15" fillId="6" borderId="87" xfId="1" applyFont="1" applyFill="1" applyBorder="1" applyAlignment="1" applyProtection="1">
      <alignment horizontal="center" vertical="center"/>
      <protection hidden="1"/>
    </xf>
    <xf numFmtId="3" fontId="27" fillId="7" borderId="63" xfId="1" applyNumberFormat="1" applyFont="1" applyFill="1" applyBorder="1" applyAlignment="1" applyProtection="1">
      <alignment vertical="center"/>
      <protection locked="0" hidden="1"/>
    </xf>
    <xf numFmtId="0" fontId="47" fillId="0" borderId="0" xfId="0" applyFont="1" applyAlignment="1" applyProtection="1">
      <alignment horizontal="center" textRotation="90"/>
      <protection hidden="1"/>
    </xf>
    <xf numFmtId="0" fontId="5" fillId="0" borderId="0" xfId="0" applyFont="1" applyAlignment="1">
      <alignment horizontal="center"/>
    </xf>
    <xf numFmtId="165" fontId="12" fillId="0" borderId="0" xfId="0" applyNumberFormat="1" applyFont="1" applyAlignment="1">
      <alignment horizontal="center" vertical="top"/>
    </xf>
    <xf numFmtId="0" fontId="12" fillId="3" borderId="0" xfId="0" applyFont="1" applyFill="1"/>
    <xf numFmtId="0" fontId="54" fillId="9" borderId="0" xfId="0" applyFont="1" applyFill="1"/>
    <xf numFmtId="0" fontId="54" fillId="0" borderId="0" xfId="0" applyFont="1" applyAlignment="1">
      <alignment horizontal="center"/>
    </xf>
    <xf numFmtId="164" fontId="11" fillId="3" borderId="0" xfId="0" applyNumberFormat="1" applyFont="1" applyFill="1" applyAlignment="1">
      <alignment vertical="top"/>
    </xf>
    <xf numFmtId="0" fontId="11" fillId="3" borderId="0" xfId="0" applyFont="1" applyFill="1" applyAlignment="1">
      <alignment horizontal="left" vertical="top"/>
    </xf>
    <xf numFmtId="164" fontId="12" fillId="0" borderId="0" xfId="0" applyNumberFormat="1" applyFont="1" applyAlignment="1">
      <alignment horizontal="center" vertical="top"/>
    </xf>
    <xf numFmtId="0" fontId="12" fillId="0" borderId="0" xfId="0" applyFont="1" applyAlignment="1">
      <alignment horizontal="left" vertical="top"/>
    </xf>
    <xf numFmtId="164" fontId="12" fillId="0" borderId="0" xfId="0" applyNumberFormat="1" applyFont="1" applyAlignment="1">
      <alignment vertical="top"/>
    </xf>
    <xf numFmtId="164" fontId="11" fillId="3" borderId="0" xfId="0" applyNumberFormat="1" applyFont="1" applyFill="1" applyAlignment="1">
      <alignment horizontal="left" vertical="top"/>
    </xf>
    <xf numFmtId="20" fontId="12" fillId="0" borderId="0" xfId="0" applyNumberFormat="1" applyFont="1" applyAlignment="1">
      <alignment vertical="top"/>
    </xf>
    <xf numFmtId="3" fontId="30" fillId="0" borderId="0" xfId="0" applyNumberFormat="1" applyFont="1" applyAlignment="1">
      <alignment horizontal="center" vertical="center"/>
    </xf>
    <xf numFmtId="0" fontId="5" fillId="0" borderId="0" xfId="0" applyFont="1" applyAlignment="1">
      <alignment vertical="center"/>
    </xf>
    <xf numFmtId="0" fontId="32" fillId="7" borderId="77" xfId="0" applyFont="1" applyFill="1" applyBorder="1" applyAlignment="1" applyProtection="1">
      <alignment horizontal="center" vertical="center"/>
      <protection locked="0"/>
    </xf>
    <xf numFmtId="3" fontId="30" fillId="11" borderId="90" xfId="0" applyNumberFormat="1" applyFont="1" applyFill="1" applyBorder="1" applyAlignment="1" applyProtection="1">
      <alignment horizontal="center" vertical="center"/>
      <protection hidden="1"/>
    </xf>
    <xf numFmtId="3" fontId="30" fillId="11" borderId="89" xfId="0" applyNumberFormat="1" applyFont="1" applyFill="1" applyBorder="1" applyAlignment="1" applyProtection="1">
      <alignment horizontal="center" vertical="center"/>
      <protection hidden="1"/>
    </xf>
    <xf numFmtId="3" fontId="55" fillId="0" borderId="0" xfId="0" applyNumberFormat="1" applyFont="1" applyAlignment="1" applyProtection="1">
      <alignment horizontal="center"/>
      <protection hidden="1"/>
    </xf>
    <xf numFmtId="0" fontId="55" fillId="0" borderId="0" xfId="0" applyFont="1" applyAlignment="1" applyProtection="1">
      <alignment horizontal="center" vertical="center"/>
      <protection hidden="1"/>
    </xf>
    <xf numFmtId="3" fontId="30" fillId="11" borderId="91" xfId="0" applyNumberFormat="1" applyFont="1" applyFill="1" applyBorder="1" applyAlignment="1" applyProtection="1">
      <alignment horizontal="center" vertical="center"/>
      <protection hidden="1"/>
    </xf>
    <xf numFmtId="0" fontId="16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5" fillId="7" borderId="0" xfId="0" applyFont="1" applyFill="1" applyAlignment="1">
      <alignment vertical="center"/>
    </xf>
    <xf numFmtId="0" fontId="9" fillId="7" borderId="0" xfId="0" applyFont="1" applyFill="1"/>
    <xf numFmtId="0" fontId="55" fillId="7" borderId="0" xfId="0" applyFont="1" applyFill="1" applyAlignment="1">
      <alignment horizontal="left" vertical="center"/>
    </xf>
    <xf numFmtId="4" fontId="55" fillId="7" borderId="0" xfId="0" applyNumberFormat="1" applyFont="1" applyFill="1" applyAlignment="1">
      <alignment horizontal="center" vertical="center"/>
    </xf>
    <xf numFmtId="0" fontId="44" fillId="7" borderId="0" xfId="0" applyFont="1" applyFill="1"/>
    <xf numFmtId="0" fontId="56" fillId="7" borderId="0" xfId="0" applyFont="1" applyFill="1" applyAlignment="1">
      <alignment horizontal="center" wrapText="1"/>
    </xf>
    <xf numFmtId="0" fontId="57" fillId="7" borderId="0" xfId="0" applyFont="1" applyFill="1" applyAlignment="1">
      <alignment horizontal="center" wrapText="1"/>
    </xf>
    <xf numFmtId="14" fontId="58" fillId="7" borderId="0" xfId="0" applyNumberFormat="1" applyFont="1" applyFill="1" applyAlignment="1">
      <alignment horizontal="center" vertical="center"/>
    </xf>
    <xf numFmtId="0" fontId="44" fillId="7" borderId="0" xfId="0" applyFont="1" applyFill="1" applyAlignment="1">
      <alignment vertical="center"/>
    </xf>
    <xf numFmtId="0" fontId="32" fillId="7" borderId="0" xfId="0" applyFont="1" applyFill="1" applyAlignment="1">
      <alignment horizontal="left" vertical="center"/>
    </xf>
    <xf numFmtId="0" fontId="32" fillId="7" borderId="0" xfId="0" applyFont="1" applyFill="1" applyAlignment="1">
      <alignment vertical="center"/>
    </xf>
    <xf numFmtId="164" fontId="32" fillId="7" borderId="0" xfId="0" applyNumberFormat="1" applyFont="1" applyFill="1" applyAlignment="1">
      <alignment horizontal="left" vertical="center"/>
    </xf>
    <xf numFmtId="0" fontId="32" fillId="7" borderId="88" xfId="0" applyFont="1" applyFill="1" applyBorder="1" applyAlignment="1">
      <alignment horizontal="left" vertical="center"/>
    </xf>
    <xf numFmtId="14" fontId="46" fillId="7" borderId="0" xfId="0" applyNumberFormat="1" applyFont="1" applyFill="1" applyAlignment="1">
      <alignment horizontal="center" vertical="center"/>
    </xf>
    <xf numFmtId="0" fontId="59" fillId="7" borderId="0" xfId="0" applyFont="1" applyFill="1" applyAlignment="1">
      <alignment vertical="center"/>
    </xf>
    <xf numFmtId="14" fontId="59" fillId="7" borderId="0" xfId="0" applyNumberFormat="1" applyFont="1" applyFill="1" applyAlignment="1">
      <alignment horizontal="center" vertical="center"/>
    </xf>
    <xf numFmtId="0" fontId="56" fillId="7" borderId="0" xfId="0" applyFont="1" applyFill="1" applyAlignment="1">
      <alignment vertical="center"/>
    </xf>
    <xf numFmtId="0" fontId="30" fillId="7" borderId="92" xfId="0" applyFont="1" applyFill="1" applyBorder="1" applyAlignment="1">
      <alignment horizontal="center" vertical="center"/>
    </xf>
    <xf numFmtId="3" fontId="32" fillId="7" borderId="0" xfId="0" applyNumberFormat="1" applyFont="1" applyFill="1" applyAlignment="1">
      <alignment horizontal="center" vertical="center"/>
    </xf>
    <xf numFmtId="0" fontId="32" fillId="7" borderId="0" xfId="0" applyFont="1" applyFill="1" applyAlignment="1">
      <alignment horizontal="center" vertical="center"/>
    </xf>
    <xf numFmtId="0" fontId="32" fillId="7" borderId="88" xfId="0" applyFont="1" applyFill="1" applyBorder="1" applyAlignment="1">
      <alignment vertical="center"/>
    </xf>
    <xf numFmtId="4" fontId="55" fillId="7" borderId="88" xfId="0" applyNumberFormat="1" applyFont="1" applyFill="1" applyBorder="1" applyAlignment="1">
      <alignment horizontal="center" vertical="center"/>
    </xf>
    <xf numFmtId="3" fontId="32" fillId="7" borderId="88" xfId="0" applyNumberFormat="1" applyFont="1" applyFill="1" applyBorder="1" applyAlignment="1">
      <alignment horizontal="center" vertical="center"/>
    </xf>
    <xf numFmtId="4" fontId="32" fillId="7" borderId="88" xfId="0" applyNumberFormat="1" applyFont="1" applyFill="1" applyBorder="1" applyAlignment="1">
      <alignment horizontal="center" vertical="center"/>
    </xf>
    <xf numFmtId="0" fontId="30" fillId="7" borderId="88" xfId="0" applyFont="1" applyFill="1" applyBorder="1" applyAlignment="1">
      <alignment horizontal="center" vertical="center"/>
    </xf>
    <xf numFmtId="0" fontId="30" fillId="7" borderId="94" xfId="0" applyFont="1" applyFill="1" applyBorder="1" applyAlignment="1">
      <alignment horizontal="center" vertical="center"/>
    </xf>
    <xf numFmtId="164" fontId="14" fillId="0" borderId="0" xfId="0" applyNumberFormat="1" applyFont="1"/>
    <xf numFmtId="164" fontId="14" fillId="0" borderId="0" xfId="0" applyNumberFormat="1" applyFont="1" applyAlignment="1">
      <alignment horizontal="center"/>
    </xf>
    <xf numFmtId="164" fontId="14" fillId="0" borderId="0" xfId="0" applyNumberFormat="1" applyFont="1" applyAlignment="1">
      <alignment horizontal="left"/>
    </xf>
    <xf numFmtId="164" fontId="37" fillId="0" borderId="0" xfId="0" applyNumberFormat="1" applyFont="1" applyAlignment="1" applyProtection="1">
      <alignment horizontal="center"/>
      <protection locked="0"/>
    </xf>
    <xf numFmtId="164" fontId="13" fillId="0" borderId="0" xfId="0" applyNumberFormat="1" applyFont="1" applyAlignment="1">
      <alignment horizontal="center"/>
    </xf>
    <xf numFmtId="164" fontId="13" fillId="0" borderId="0" xfId="0" applyNumberFormat="1" applyFont="1"/>
    <xf numFmtId="0" fontId="14" fillId="0" borderId="0" xfId="0" applyFont="1" applyAlignment="1">
      <alignment horizontal="center"/>
    </xf>
    <xf numFmtId="0" fontId="14" fillId="0" borderId="0" xfId="0" applyFont="1"/>
    <xf numFmtId="4" fontId="0" fillId="0" borderId="0" xfId="0" applyNumberFormat="1"/>
    <xf numFmtId="0" fontId="12" fillId="0" borderId="0" xfId="0" applyFont="1" applyAlignment="1" applyProtection="1">
      <alignment horizontal="left"/>
      <protection locked="0"/>
    </xf>
    <xf numFmtId="0" fontId="9" fillId="0" borderId="0" xfId="0" applyFont="1" applyAlignment="1">
      <alignment horizontal="center" vertical="center" wrapText="1"/>
    </xf>
    <xf numFmtId="0" fontId="19" fillId="0" borderId="0" xfId="0" applyFont="1" applyAlignment="1">
      <alignment vertical="center" wrapText="1"/>
    </xf>
    <xf numFmtId="0" fontId="19" fillId="0" borderId="22" xfId="1" applyFont="1" applyFill="1" applyBorder="1" applyAlignment="1" applyProtection="1">
      <alignment horizontal="center"/>
      <protection hidden="1"/>
    </xf>
    <xf numFmtId="0" fontId="33" fillId="0" borderId="13" xfId="1" applyFont="1" applyFill="1" applyBorder="1" applyAlignment="1" applyProtection="1">
      <alignment horizontal="center"/>
      <protection hidden="1"/>
    </xf>
    <xf numFmtId="0" fontId="31" fillId="0" borderId="13" xfId="1" applyFont="1" applyFill="1" applyBorder="1" applyAlignment="1" applyProtection="1">
      <alignment horizontal="center"/>
      <protection hidden="1"/>
    </xf>
    <xf numFmtId="0" fontId="19" fillId="0" borderId="13" xfId="1" applyFont="1" applyFill="1" applyBorder="1" applyAlignment="1" applyProtection="1">
      <alignment wrapText="1"/>
      <protection hidden="1"/>
    </xf>
    <xf numFmtId="164" fontId="9" fillId="0" borderId="13" xfId="1" applyNumberFormat="1" applyFont="1" applyFill="1" applyBorder="1" applyAlignment="1" applyProtection="1">
      <alignment horizontal="center"/>
      <protection hidden="1"/>
    </xf>
    <xf numFmtId="3" fontId="27" fillId="0" borderId="13" xfId="1" applyNumberFormat="1" applyFont="1" applyFill="1" applyBorder="1" applyAlignment="1" applyProtection="1">
      <protection hidden="1"/>
    </xf>
    <xf numFmtId="3" fontId="27" fillId="0" borderId="95" xfId="1" applyNumberFormat="1" applyFont="1" applyFill="1" applyBorder="1" applyAlignment="1" applyProtection="1">
      <protection hidden="1"/>
    </xf>
    <xf numFmtId="0" fontId="19" fillId="2" borderId="41" xfId="1" applyFont="1" applyFill="1" applyBorder="1" applyAlignment="1" applyProtection="1">
      <alignment vertical="center" wrapText="1"/>
      <protection hidden="1"/>
    </xf>
    <xf numFmtId="164" fontId="9" fillId="2" borderId="42" xfId="1" applyNumberFormat="1" applyFont="1" applyFill="1" applyBorder="1" applyAlignment="1" applyProtection="1">
      <alignment horizontal="center" vertical="center"/>
      <protection hidden="1"/>
    </xf>
    <xf numFmtId="3" fontId="27" fillId="2" borderId="56" xfId="1" applyNumberFormat="1" applyFont="1" applyFill="1" applyBorder="1" applyAlignment="1" applyProtection="1">
      <alignment vertical="center"/>
      <protection hidden="1"/>
    </xf>
    <xf numFmtId="3" fontId="27" fillId="2" borderId="65" xfId="1" applyNumberFormat="1" applyFont="1" applyFill="1" applyBorder="1" applyAlignment="1" applyProtection="1">
      <alignment vertical="center"/>
      <protection hidden="1"/>
    </xf>
    <xf numFmtId="164" fontId="19" fillId="2" borderId="42" xfId="1" applyNumberFormat="1" applyFont="1" applyFill="1" applyBorder="1" applyAlignment="1" applyProtection="1">
      <alignment horizontal="center" vertical="center"/>
      <protection hidden="1"/>
    </xf>
    <xf numFmtId="164" fontId="19" fillId="0" borderId="13" xfId="1" applyNumberFormat="1" applyFont="1" applyFill="1" applyBorder="1" applyAlignment="1" applyProtection="1">
      <alignment horizontal="center"/>
      <protection hidden="1"/>
    </xf>
    <xf numFmtId="0" fontId="19" fillId="2" borderId="96" xfId="1" applyFont="1" applyFill="1" applyBorder="1" applyAlignment="1" applyProtection="1">
      <alignment horizontal="center" vertical="center"/>
      <protection hidden="1"/>
    </xf>
    <xf numFmtId="0" fontId="34" fillId="2" borderId="97" xfId="0" applyFont="1" applyFill="1" applyBorder="1" applyAlignment="1" applyProtection="1">
      <alignment horizontal="center" vertical="center"/>
      <protection hidden="1"/>
    </xf>
    <xf numFmtId="0" fontId="34" fillId="2" borderId="98" xfId="0" applyFont="1" applyFill="1" applyBorder="1" applyAlignment="1" applyProtection="1">
      <alignment horizontal="center" vertical="center"/>
      <protection hidden="1"/>
    </xf>
    <xf numFmtId="0" fontId="19" fillId="2" borderId="99" xfId="1" applyFont="1" applyFill="1" applyBorder="1" applyAlignment="1" applyProtection="1">
      <alignment vertical="center" wrapText="1"/>
      <protection hidden="1"/>
    </xf>
    <xf numFmtId="164" fontId="19" fillId="2" borderId="100" xfId="1" applyNumberFormat="1" applyFont="1" applyFill="1" applyBorder="1" applyAlignment="1" applyProtection="1">
      <alignment horizontal="center" vertical="center"/>
      <protection hidden="1"/>
    </xf>
    <xf numFmtId="3" fontId="27" fillId="2" borderId="98" xfId="1" applyNumberFormat="1" applyFont="1" applyFill="1" applyBorder="1" applyAlignment="1" applyProtection="1">
      <alignment vertical="center"/>
      <protection hidden="1"/>
    </xf>
    <xf numFmtId="3" fontId="27" fillId="2" borderId="101" xfId="1" applyNumberFormat="1" applyFont="1" applyFill="1" applyBorder="1" applyAlignment="1" applyProtection="1">
      <alignment vertical="center"/>
      <protection locked="0" hidden="1"/>
    </xf>
    <xf numFmtId="0" fontId="19" fillId="0" borderId="5" xfId="1" applyFont="1" applyFill="1" applyBorder="1" applyAlignment="1" applyProtection="1">
      <alignment vertical="center" wrapText="1"/>
      <protection hidden="1"/>
    </xf>
    <xf numFmtId="164" fontId="19" fillId="0" borderId="4" xfId="1" applyNumberFormat="1" applyFont="1" applyFill="1" applyBorder="1" applyAlignment="1" applyProtection="1">
      <alignment horizontal="center" vertical="center"/>
      <protection hidden="1"/>
    </xf>
    <xf numFmtId="3" fontId="27" fillId="0" borderId="3" xfId="1" applyNumberFormat="1" applyFont="1" applyFill="1" applyBorder="1" applyAlignment="1" applyProtection="1">
      <alignment vertical="center"/>
      <protection hidden="1"/>
    </xf>
    <xf numFmtId="3" fontId="27" fillId="0" borderId="76" xfId="1" applyNumberFormat="1" applyFont="1" applyFill="1" applyBorder="1" applyAlignment="1" applyProtection="1">
      <alignment vertical="center"/>
      <protection hidden="1"/>
    </xf>
    <xf numFmtId="164" fontId="60" fillId="0" borderId="0" xfId="0" applyNumberFormat="1" applyFont="1" applyAlignment="1">
      <alignment horizontal="center" vertical="top"/>
    </xf>
    <xf numFmtId="0" fontId="60" fillId="0" borderId="0" xfId="0" applyFont="1" applyAlignment="1">
      <alignment vertical="top"/>
    </xf>
    <xf numFmtId="0" fontId="60" fillId="0" borderId="0" xfId="0" applyFont="1" applyAlignment="1">
      <alignment horizontal="center" vertical="top"/>
    </xf>
    <xf numFmtId="0" fontId="61" fillId="0" borderId="0" xfId="0" applyFont="1" applyAlignment="1">
      <alignment vertical="top"/>
    </xf>
    <xf numFmtId="0" fontId="62" fillId="0" borderId="0" xfId="0" applyFont="1" applyAlignment="1">
      <alignment vertical="top"/>
    </xf>
    <xf numFmtId="0" fontId="3" fillId="6" borderId="19" xfId="0" applyFont="1" applyFill="1" applyBorder="1" applyAlignment="1" applyProtection="1">
      <alignment horizontal="center"/>
      <protection hidden="1"/>
    </xf>
    <xf numFmtId="0" fontId="3" fillId="6" borderId="26" xfId="0" applyFont="1" applyFill="1" applyBorder="1" applyAlignment="1" applyProtection="1">
      <alignment horizontal="center"/>
      <protection hidden="1"/>
    </xf>
    <xf numFmtId="0" fontId="24" fillId="6" borderId="0" xfId="0" applyFont="1" applyFill="1" applyAlignment="1" applyProtection="1">
      <alignment horizontal="center" vertical="center"/>
      <protection hidden="1"/>
    </xf>
    <xf numFmtId="0" fontId="24" fillId="6" borderId="3" xfId="0" applyFont="1" applyFill="1" applyBorder="1" applyAlignment="1" applyProtection="1">
      <alignment horizontal="center" vertical="center"/>
      <protection hidden="1"/>
    </xf>
    <xf numFmtId="0" fontId="24" fillId="6" borderId="14" xfId="0" applyFont="1" applyFill="1" applyBorder="1" applyAlignment="1" applyProtection="1">
      <alignment horizontal="center" vertical="center"/>
      <protection hidden="1"/>
    </xf>
    <xf numFmtId="3" fontId="28" fillId="6" borderId="50" xfId="1" applyNumberFormat="1" applyFont="1" applyFill="1" applyBorder="1" applyAlignment="1" applyProtection="1">
      <alignment vertical="center"/>
      <protection hidden="1"/>
    </xf>
    <xf numFmtId="3" fontId="28" fillId="6" borderId="102" xfId="1" applyNumberFormat="1" applyFont="1" applyFill="1" applyBorder="1" applyAlignment="1" applyProtection="1">
      <alignment vertical="center"/>
      <protection hidden="1"/>
    </xf>
    <xf numFmtId="3" fontId="28" fillId="6" borderId="72" xfId="1" applyNumberFormat="1" applyFont="1" applyFill="1" applyBorder="1" applyAlignment="1" applyProtection="1">
      <alignment vertical="center"/>
      <protection hidden="1"/>
    </xf>
    <xf numFmtId="3" fontId="28" fillId="6" borderId="105" xfId="1" applyNumberFormat="1" applyFont="1" applyFill="1" applyBorder="1" applyAlignment="1" applyProtection="1">
      <alignment vertical="center"/>
      <protection hidden="1"/>
    </xf>
    <xf numFmtId="0" fontId="63" fillId="0" borderId="0" xfId="0" applyFont="1" applyAlignment="1">
      <alignment vertical="center"/>
    </xf>
    <xf numFmtId="0" fontId="64" fillId="0" borderId="0" xfId="0" applyFont="1" applyAlignment="1">
      <alignment vertical="center"/>
    </xf>
    <xf numFmtId="3" fontId="64" fillId="6" borderId="4" xfId="1" applyNumberFormat="1" applyFont="1" applyFill="1" applyBorder="1" applyAlignment="1" applyProtection="1">
      <alignment vertical="center"/>
      <protection hidden="1"/>
    </xf>
    <xf numFmtId="3" fontId="64" fillId="6" borderId="75" xfId="1" applyNumberFormat="1" applyFont="1" applyFill="1" applyBorder="1" applyAlignment="1" applyProtection="1">
      <alignment vertical="center"/>
      <protection hidden="1"/>
    </xf>
    <xf numFmtId="3" fontId="64" fillId="6" borderId="50" xfId="1" applyNumberFormat="1" applyFont="1" applyFill="1" applyBorder="1" applyAlignment="1" applyProtection="1">
      <alignment vertical="center"/>
      <protection hidden="1"/>
    </xf>
    <xf numFmtId="3" fontId="64" fillId="6" borderId="102" xfId="1" applyNumberFormat="1" applyFont="1" applyFill="1" applyBorder="1" applyAlignment="1" applyProtection="1">
      <alignment vertical="center"/>
      <protection hidden="1"/>
    </xf>
    <xf numFmtId="0" fontId="66" fillId="0" borderId="0" xfId="0" applyFont="1" applyAlignment="1">
      <alignment vertical="center"/>
    </xf>
    <xf numFmtId="3" fontId="67" fillId="6" borderId="4" xfId="1" applyNumberFormat="1" applyFont="1" applyFill="1" applyBorder="1" applyAlignment="1" applyProtection="1">
      <alignment vertical="center"/>
      <protection hidden="1"/>
    </xf>
    <xf numFmtId="3" fontId="67" fillId="6" borderId="75" xfId="1" applyNumberFormat="1" applyFont="1" applyFill="1" applyBorder="1" applyAlignment="1" applyProtection="1">
      <alignment vertical="center"/>
      <protection hidden="1"/>
    </xf>
    <xf numFmtId="0" fontId="65" fillId="0" borderId="0" xfId="0" applyFont="1" applyAlignment="1">
      <alignment vertical="center"/>
    </xf>
    <xf numFmtId="3" fontId="67" fillId="6" borderId="50" xfId="1" applyNumberFormat="1" applyFont="1" applyFill="1" applyBorder="1" applyAlignment="1" applyProtection="1">
      <alignment vertical="center"/>
      <protection hidden="1"/>
    </xf>
    <xf numFmtId="3" fontId="67" fillId="6" borderId="102" xfId="1" applyNumberFormat="1" applyFont="1" applyFill="1" applyBorder="1" applyAlignment="1" applyProtection="1">
      <alignment vertical="center"/>
      <protection hidden="1"/>
    </xf>
    <xf numFmtId="3" fontId="27" fillId="8" borderId="1" xfId="1" applyNumberFormat="1" applyFont="1" applyFill="1" applyBorder="1" applyAlignment="1" applyProtection="1">
      <alignment vertical="center"/>
      <protection hidden="1"/>
    </xf>
    <xf numFmtId="3" fontId="27" fillId="8" borderId="2" xfId="1" applyNumberFormat="1" applyFont="1" applyFill="1" applyBorder="1" applyAlignment="1" applyProtection="1">
      <alignment vertical="center"/>
      <protection hidden="1"/>
    </xf>
    <xf numFmtId="3" fontId="27" fillId="2" borderId="1" xfId="1" applyNumberFormat="1" applyFont="1" applyFill="1" applyBorder="1" applyAlignment="1" applyProtection="1">
      <alignment vertical="center"/>
      <protection hidden="1"/>
    </xf>
    <xf numFmtId="3" fontId="27" fillId="2" borderId="2" xfId="1" applyNumberFormat="1" applyFont="1" applyFill="1" applyBorder="1" applyAlignment="1" applyProtection="1">
      <alignment vertical="center"/>
      <protection hidden="1"/>
    </xf>
    <xf numFmtId="3" fontId="64" fillId="6" borderId="8" xfId="1" applyNumberFormat="1" applyFont="1" applyFill="1" applyBorder="1" applyAlignment="1" applyProtection="1">
      <alignment vertical="center"/>
      <protection hidden="1"/>
    </xf>
    <xf numFmtId="3" fontId="64" fillId="6" borderId="112" xfId="1" applyNumberFormat="1" applyFont="1" applyFill="1" applyBorder="1" applyAlignment="1" applyProtection="1">
      <alignment vertical="center"/>
      <protection hidden="1"/>
    </xf>
    <xf numFmtId="3" fontId="27" fillId="8" borderId="26" xfId="1" applyNumberFormat="1" applyFont="1" applyFill="1" applyBorder="1" applyAlignment="1" applyProtection="1">
      <alignment vertical="center"/>
      <protection hidden="1"/>
    </xf>
    <xf numFmtId="3" fontId="27" fillId="8" borderId="85" xfId="1" applyNumberFormat="1" applyFont="1" applyFill="1" applyBorder="1" applyAlignment="1" applyProtection="1">
      <alignment vertical="center"/>
      <protection hidden="1"/>
    </xf>
    <xf numFmtId="3" fontId="27" fillId="2" borderId="31" xfId="1" applyNumberFormat="1" applyFont="1" applyFill="1" applyBorder="1" applyAlignment="1" applyProtection="1">
      <alignment vertical="center"/>
      <protection hidden="1"/>
    </xf>
    <xf numFmtId="3" fontId="27" fillId="2" borderId="59" xfId="1" applyNumberFormat="1" applyFont="1" applyFill="1" applyBorder="1" applyAlignment="1" applyProtection="1">
      <alignment vertical="center"/>
      <protection hidden="1"/>
    </xf>
    <xf numFmtId="3" fontId="27" fillId="7" borderId="68" xfId="1" applyNumberFormat="1" applyFont="1" applyFill="1" applyBorder="1" applyAlignment="1" applyProtection="1">
      <alignment vertical="center"/>
      <protection hidden="1"/>
    </xf>
    <xf numFmtId="3" fontId="27" fillId="7" borderId="70" xfId="1" applyNumberFormat="1" applyFont="1" applyFill="1" applyBorder="1" applyAlignment="1" applyProtection="1">
      <alignment vertical="center"/>
      <protection hidden="1"/>
    </xf>
    <xf numFmtId="165" fontId="68" fillId="0" borderId="0" xfId="0" applyNumberFormat="1" applyFont="1" applyAlignment="1">
      <alignment horizontal="center" vertical="top"/>
    </xf>
    <xf numFmtId="0" fontId="68" fillId="0" borderId="0" xfId="0" applyFont="1" applyAlignment="1">
      <alignment horizontal="center" vertical="top"/>
    </xf>
    <xf numFmtId="0" fontId="69" fillId="0" borderId="0" xfId="0" applyFont="1" applyAlignment="1">
      <alignment vertical="top"/>
    </xf>
    <xf numFmtId="0" fontId="70" fillId="0" borderId="0" xfId="0" applyFont="1" applyAlignment="1">
      <alignment vertical="top"/>
    </xf>
    <xf numFmtId="0" fontId="21" fillId="0" borderId="0" xfId="0" applyFont="1" applyAlignment="1" applyProtection="1">
      <alignment vertical="top"/>
      <protection hidden="1"/>
    </xf>
    <xf numFmtId="0" fontId="21" fillId="0" borderId="0" xfId="0" applyFont="1" applyAlignment="1" applyProtection="1">
      <alignment vertical="center"/>
      <protection hidden="1"/>
    </xf>
    <xf numFmtId="0" fontId="21" fillId="6" borderId="0" xfId="0" applyFont="1" applyFill="1" applyAlignment="1" applyProtection="1">
      <alignment horizontal="center" vertical="center"/>
      <protection hidden="1"/>
    </xf>
    <xf numFmtId="0" fontId="21" fillId="6" borderId="3" xfId="0" applyFont="1" applyFill="1" applyBorder="1" applyAlignment="1" applyProtection="1">
      <alignment horizontal="center" vertical="center"/>
      <protection hidden="1"/>
    </xf>
    <xf numFmtId="3" fontId="28" fillId="0" borderId="3" xfId="1" applyNumberFormat="1" applyFont="1" applyFill="1" applyBorder="1" applyAlignment="1" applyProtection="1">
      <alignment vertical="center"/>
      <protection hidden="1"/>
    </xf>
    <xf numFmtId="3" fontId="28" fillId="0" borderId="76" xfId="1" applyNumberFormat="1" applyFont="1" applyFill="1" applyBorder="1" applyAlignment="1" applyProtection="1">
      <alignment vertical="center"/>
      <protection hidden="1"/>
    </xf>
    <xf numFmtId="3" fontId="28" fillId="0" borderId="18" xfId="1" applyNumberFormat="1" applyFont="1" applyFill="1" applyBorder="1" applyAlignment="1" applyProtection="1">
      <alignment vertical="center"/>
      <protection hidden="1"/>
    </xf>
    <xf numFmtId="3" fontId="28" fillId="0" borderId="95" xfId="1" applyNumberFormat="1" applyFont="1" applyFill="1" applyBorder="1" applyAlignment="1" applyProtection="1">
      <alignment vertical="center"/>
      <protection hidden="1"/>
    </xf>
    <xf numFmtId="0" fontId="65" fillId="7" borderId="77" xfId="0" applyFont="1" applyFill="1" applyBorder="1" applyAlignment="1" applyProtection="1">
      <alignment horizontal="center" vertical="center"/>
      <protection locked="0"/>
    </xf>
    <xf numFmtId="0" fontId="20" fillId="0" borderId="0" xfId="0" applyFont="1" applyAlignment="1" applyProtection="1">
      <alignment horizontal="left"/>
      <protection hidden="1"/>
    </xf>
    <xf numFmtId="0" fontId="18" fillId="0" borderId="0" xfId="0" applyFont="1" applyAlignment="1" applyProtection="1">
      <alignment horizontal="left" vertical="center"/>
      <protection hidden="1"/>
    </xf>
    <xf numFmtId="0" fontId="21" fillId="0" borderId="0" xfId="0" applyFont="1" applyAlignment="1" applyProtection="1">
      <alignment horizontal="left"/>
      <protection hidden="1"/>
    </xf>
    <xf numFmtId="0" fontId="21" fillId="6" borderId="12" xfId="0" applyFont="1" applyFill="1" applyBorder="1" applyAlignment="1" applyProtection="1">
      <alignment horizontal="left" vertical="center"/>
      <protection hidden="1"/>
    </xf>
    <xf numFmtId="0" fontId="9" fillId="0" borderId="0" xfId="0" applyFont="1" applyAlignment="1" applyProtection="1">
      <alignment horizontal="left" vertical="center"/>
      <protection hidden="1"/>
    </xf>
    <xf numFmtId="3" fontId="27" fillId="2" borderId="68" xfId="1" applyNumberFormat="1" applyFont="1" applyFill="1" applyBorder="1" applyAlignment="1" applyProtection="1">
      <alignment vertical="center"/>
      <protection hidden="1"/>
    </xf>
    <xf numFmtId="3" fontId="27" fillId="2" borderId="70" xfId="1" applyNumberFormat="1" applyFont="1" applyFill="1" applyBorder="1" applyAlignment="1" applyProtection="1">
      <alignment vertical="center"/>
      <protection hidden="1"/>
    </xf>
    <xf numFmtId="0" fontId="39" fillId="0" borderId="0" xfId="0" applyFont="1" applyAlignment="1">
      <alignment horizontal="left"/>
    </xf>
    <xf numFmtId="3" fontId="28" fillId="7" borderId="31" xfId="1" applyNumberFormat="1" applyFont="1" applyFill="1" applyBorder="1" applyAlignment="1" applyProtection="1">
      <alignment vertical="center"/>
      <protection hidden="1"/>
    </xf>
    <xf numFmtId="3" fontId="28" fillId="7" borderId="59" xfId="1" applyNumberFormat="1" applyFont="1" applyFill="1" applyBorder="1" applyAlignment="1" applyProtection="1">
      <alignment vertical="center"/>
      <protection hidden="1"/>
    </xf>
    <xf numFmtId="3" fontId="28" fillId="7" borderId="44" xfId="1" applyNumberFormat="1" applyFont="1" applyFill="1" applyBorder="1" applyAlignment="1" applyProtection="1">
      <alignment vertical="center"/>
      <protection hidden="1"/>
    </xf>
    <xf numFmtId="3" fontId="28" fillId="7" borderId="57" xfId="1" applyNumberFormat="1" applyFont="1" applyFill="1" applyBorder="1" applyAlignment="1" applyProtection="1">
      <alignment vertical="center"/>
      <protection hidden="1"/>
    </xf>
    <xf numFmtId="3" fontId="28" fillId="7" borderId="52" xfId="1" applyNumberFormat="1" applyFont="1" applyFill="1" applyBorder="1" applyAlignment="1" applyProtection="1">
      <alignment vertical="center"/>
      <protection hidden="1"/>
    </xf>
    <xf numFmtId="3" fontId="28" fillId="7" borderId="61" xfId="1" applyNumberFormat="1" applyFont="1" applyFill="1" applyBorder="1" applyAlignment="1" applyProtection="1">
      <alignment vertical="center"/>
      <protection hidden="1"/>
    </xf>
    <xf numFmtId="3" fontId="65" fillId="6" borderId="4" xfId="1" applyNumberFormat="1" applyFont="1" applyFill="1" applyBorder="1" applyAlignment="1" applyProtection="1">
      <alignment vertical="center"/>
      <protection hidden="1"/>
    </xf>
    <xf numFmtId="3" fontId="65" fillId="6" borderId="75" xfId="1" applyNumberFormat="1" applyFont="1" applyFill="1" applyBorder="1" applyAlignment="1" applyProtection="1">
      <alignment vertical="center"/>
      <protection hidden="1"/>
    </xf>
    <xf numFmtId="0" fontId="12" fillId="13" borderId="0" xfId="0" applyFont="1" applyFill="1" applyAlignment="1">
      <alignment horizontal="center" vertical="top"/>
    </xf>
    <xf numFmtId="0" fontId="12" fillId="12" borderId="0" xfId="0" applyFont="1" applyFill="1" applyAlignment="1">
      <alignment horizontal="center" vertical="top"/>
    </xf>
    <xf numFmtId="20" fontId="12" fillId="0" borderId="0" xfId="0" applyNumberFormat="1" applyFont="1" applyAlignment="1">
      <alignment horizontal="center" vertical="top"/>
    </xf>
    <xf numFmtId="164" fontId="12" fillId="12" borderId="0" xfId="0" applyNumberFormat="1" applyFont="1" applyFill="1" applyAlignment="1">
      <alignment horizontal="center" vertical="top"/>
    </xf>
    <xf numFmtId="164" fontId="12" fillId="13" borderId="0" xfId="0" applyNumberFormat="1" applyFont="1" applyFill="1" applyAlignment="1">
      <alignment horizontal="center" vertical="top"/>
    </xf>
    <xf numFmtId="20" fontId="12" fillId="13" borderId="0" xfId="0" applyNumberFormat="1" applyFont="1" applyFill="1" applyAlignment="1">
      <alignment horizontal="center" vertical="top"/>
    </xf>
    <xf numFmtId="0" fontId="55" fillId="0" borderId="0" xfId="0" applyFont="1" applyAlignment="1">
      <alignment horizontal="center"/>
    </xf>
    <xf numFmtId="0" fontId="55" fillId="0" borderId="0" xfId="0" applyFont="1" applyAlignment="1">
      <alignment horizontal="left"/>
    </xf>
    <xf numFmtId="0" fontId="72" fillId="0" borderId="0" xfId="0" applyFont="1" applyAlignment="1">
      <alignment horizontal="left"/>
    </xf>
    <xf numFmtId="0" fontId="55" fillId="0" borderId="0" xfId="0" applyFont="1" applyAlignment="1">
      <alignment horizontal="center" vertical="center"/>
    </xf>
    <xf numFmtId="0" fontId="55" fillId="0" borderId="0" xfId="0" applyFont="1" applyAlignment="1">
      <alignment horizontal="left" vertical="center"/>
    </xf>
    <xf numFmtId="0" fontId="73" fillId="0" borderId="0" xfId="0" applyFont="1" applyAlignment="1">
      <alignment horizontal="left" vertical="top"/>
    </xf>
    <xf numFmtId="0" fontId="73" fillId="0" borderId="0" xfId="0" applyFont="1" applyAlignment="1">
      <alignment horizontal="left" vertical="center"/>
    </xf>
    <xf numFmtId="0" fontId="72" fillId="0" borderId="0" xfId="0" applyFont="1" applyAlignment="1">
      <alignment horizontal="left" vertical="center"/>
    </xf>
    <xf numFmtId="0" fontId="74" fillId="0" borderId="0" xfId="0" applyFont="1" applyAlignment="1">
      <alignment vertical="center"/>
    </xf>
    <xf numFmtId="0" fontId="71" fillId="0" borderId="0" xfId="0" applyFont="1" applyAlignment="1">
      <alignment horizontal="center" vertical="center"/>
    </xf>
    <xf numFmtId="0" fontId="71" fillId="0" borderId="0" xfId="0" applyFont="1" applyAlignment="1">
      <alignment horizontal="left" vertical="center"/>
    </xf>
    <xf numFmtId="0" fontId="75" fillId="0" borderId="0" xfId="0" applyFont="1" applyAlignment="1">
      <alignment vertical="center"/>
    </xf>
    <xf numFmtId="0" fontId="55" fillId="0" borderId="0" xfId="0" quotePrefix="1" applyFont="1" applyAlignment="1">
      <alignment horizontal="center" vertical="center"/>
    </xf>
    <xf numFmtId="3" fontId="64" fillId="0" borderId="3" xfId="1" applyNumberFormat="1" applyFont="1" applyFill="1" applyBorder="1" applyAlignment="1" applyProtection="1">
      <alignment vertical="center"/>
      <protection hidden="1"/>
    </xf>
    <xf numFmtId="3" fontId="64" fillId="0" borderId="76" xfId="1" applyNumberFormat="1" applyFont="1" applyFill="1" applyBorder="1" applyAlignment="1" applyProtection="1">
      <alignment vertical="center"/>
      <protection hidden="1"/>
    </xf>
    <xf numFmtId="3" fontId="64" fillId="0" borderId="53" xfId="1" applyNumberFormat="1" applyFont="1" applyFill="1" applyBorder="1" applyAlignment="1" applyProtection="1">
      <alignment vertical="center"/>
      <protection hidden="1"/>
    </xf>
    <xf numFmtId="3" fontId="64" fillId="0" borderId="62" xfId="1" applyNumberFormat="1" applyFont="1" applyFill="1" applyBorder="1" applyAlignment="1" applyProtection="1">
      <alignment vertical="center"/>
      <protection hidden="1"/>
    </xf>
    <xf numFmtId="3" fontId="64" fillId="6" borderId="3" xfId="1" applyNumberFormat="1" applyFont="1" applyFill="1" applyBorder="1" applyAlignment="1" applyProtection="1">
      <alignment vertical="center"/>
      <protection hidden="1"/>
    </xf>
    <xf numFmtId="3" fontId="64" fillId="6" borderId="76" xfId="1" applyNumberFormat="1" applyFont="1" applyFill="1" applyBorder="1" applyAlignment="1" applyProtection="1">
      <alignment vertical="center"/>
      <protection hidden="1"/>
    </xf>
    <xf numFmtId="0" fontId="55" fillId="0" borderId="0" xfId="0" applyFont="1"/>
    <xf numFmtId="0" fontId="55" fillId="0" borderId="0" xfId="0" applyFont="1" applyAlignment="1">
      <alignment vertical="center"/>
    </xf>
    <xf numFmtId="3" fontId="64" fillId="0" borderId="18" xfId="1" applyNumberFormat="1" applyFont="1" applyFill="1" applyBorder="1" applyAlignment="1" applyProtection="1">
      <alignment vertical="center"/>
      <protection hidden="1"/>
    </xf>
    <xf numFmtId="3" fontId="64" fillId="0" borderId="95" xfId="1" applyNumberFormat="1" applyFont="1" applyFill="1" applyBorder="1" applyAlignment="1" applyProtection="1">
      <alignment vertical="center"/>
      <protection hidden="1"/>
    </xf>
    <xf numFmtId="3" fontId="40" fillId="0" borderId="0" xfId="0" applyNumberFormat="1" applyFont="1" applyAlignment="1" applyProtection="1">
      <alignment horizontal="right"/>
      <protection hidden="1"/>
    </xf>
    <xf numFmtId="0" fontId="49" fillId="2" borderId="0" xfId="0" applyFont="1" applyFill="1" applyAlignment="1">
      <alignment horizontal="right" vertical="top" wrapText="1"/>
    </xf>
    <xf numFmtId="0" fontId="5" fillId="2" borderId="0" xfId="0" applyFont="1" applyFill="1" applyAlignment="1">
      <alignment horizontal="right" wrapText="1"/>
    </xf>
    <xf numFmtId="0" fontId="5" fillId="0" borderId="0" xfId="0" applyFont="1" applyAlignment="1">
      <alignment horizontal="right" vertical="top" wrapText="1"/>
    </xf>
    <xf numFmtId="0" fontId="51" fillId="10" borderId="0" xfId="0" applyFont="1" applyFill="1" applyAlignment="1">
      <alignment horizontal="right" vertical="top" wrapText="1"/>
    </xf>
    <xf numFmtId="0" fontId="5" fillId="7" borderId="83" xfId="0" applyFont="1" applyFill="1" applyBorder="1" applyAlignment="1">
      <alignment horizontal="right" vertical="top" wrapText="1"/>
    </xf>
    <xf numFmtId="0" fontId="51" fillId="10" borderId="84" xfId="0" applyFont="1" applyFill="1" applyBorder="1" applyAlignment="1">
      <alignment horizontal="right" vertical="top" wrapText="1"/>
    </xf>
    <xf numFmtId="0" fontId="10" fillId="0" borderId="0" xfId="0" applyFont="1" applyAlignment="1">
      <alignment horizontal="right" vertical="top" wrapText="1"/>
    </xf>
    <xf numFmtId="0" fontId="10" fillId="2" borderId="86" xfId="0" applyFont="1" applyFill="1" applyBorder="1" applyAlignment="1">
      <alignment horizontal="right" vertical="top" wrapText="1"/>
    </xf>
    <xf numFmtId="0" fontId="10" fillId="8" borderId="13" xfId="0" applyFont="1" applyFill="1" applyBorder="1" applyAlignment="1">
      <alignment horizontal="right" vertical="top" wrapText="1"/>
    </xf>
    <xf numFmtId="0" fontId="10" fillId="2" borderId="0" xfId="0" applyFont="1" applyFill="1" applyAlignment="1">
      <alignment horizontal="right" vertical="top" wrapText="1"/>
    </xf>
    <xf numFmtId="164" fontId="37" fillId="5" borderId="0" xfId="9" applyNumberFormat="1" applyFont="1" applyFill="1" applyAlignment="1" applyProtection="1">
      <alignment horizontal="center"/>
      <protection locked="0"/>
    </xf>
    <xf numFmtId="0" fontId="78" fillId="8" borderId="20" xfId="1" applyFont="1" applyFill="1" applyBorder="1" applyAlignment="1" applyProtection="1">
      <alignment horizontal="center" vertical="center"/>
      <protection hidden="1"/>
    </xf>
    <xf numFmtId="0" fontId="78" fillId="8" borderId="19" xfId="0" applyFont="1" applyFill="1" applyBorder="1" applyAlignment="1" applyProtection="1">
      <alignment horizontal="center" vertical="center"/>
      <protection hidden="1"/>
    </xf>
    <xf numFmtId="0" fontId="18" fillId="8" borderId="29" xfId="1" applyFont="1" applyFill="1" applyBorder="1" applyAlignment="1" applyProtection="1">
      <alignment vertical="center" wrapText="1"/>
      <protection hidden="1"/>
    </xf>
    <xf numFmtId="164" fontId="18" fillId="8" borderId="1" xfId="1" applyNumberFormat="1" applyFont="1" applyFill="1" applyBorder="1" applyAlignment="1" applyProtection="1">
      <alignment horizontal="center" vertical="center"/>
      <protection hidden="1"/>
    </xf>
    <xf numFmtId="0" fontId="18" fillId="2" borderId="20" xfId="1" applyFont="1" applyFill="1" applyBorder="1" applyAlignment="1" applyProtection="1">
      <alignment horizontal="center" vertical="center"/>
      <protection hidden="1"/>
    </xf>
    <xf numFmtId="0" fontId="18" fillId="2" borderId="19" xfId="1" applyFont="1" applyFill="1" applyBorder="1" applyAlignment="1" applyProtection="1">
      <alignment horizontal="center" vertical="center"/>
      <protection hidden="1"/>
    </xf>
    <xf numFmtId="0" fontId="79" fillId="2" borderId="19" xfId="1" applyFont="1" applyFill="1" applyBorder="1" applyAlignment="1" applyProtection="1">
      <alignment horizontal="center" vertical="center"/>
      <protection hidden="1"/>
    </xf>
    <xf numFmtId="0" fontId="18" fillId="2" borderId="29" xfId="1" applyFont="1" applyFill="1" applyBorder="1" applyAlignment="1" applyProtection="1">
      <alignment vertical="center" wrapText="1"/>
      <protection hidden="1"/>
    </xf>
    <xf numFmtId="164" fontId="18" fillId="2" borderId="1" xfId="1" applyNumberFormat="1" applyFont="1" applyFill="1" applyBorder="1" applyAlignment="1" applyProtection="1">
      <alignment horizontal="center" vertical="center"/>
      <protection hidden="1"/>
    </xf>
    <xf numFmtId="0" fontId="18" fillId="2" borderId="15" xfId="1" applyFont="1" applyFill="1" applyBorder="1" applyAlignment="1" applyProtection="1">
      <alignment horizontal="center" vertical="center"/>
      <protection hidden="1"/>
    </xf>
    <xf numFmtId="0" fontId="80" fillId="2" borderId="30" xfId="1" applyFont="1" applyFill="1" applyBorder="1" applyAlignment="1" applyProtection="1">
      <alignment horizontal="center" vertical="center"/>
      <protection hidden="1"/>
    </xf>
    <xf numFmtId="0" fontId="79" fillId="2" borderId="30" xfId="1" applyFont="1" applyFill="1" applyBorder="1" applyAlignment="1" applyProtection="1">
      <alignment horizontal="center" vertical="center"/>
      <protection hidden="1"/>
    </xf>
    <xf numFmtId="0" fontId="18" fillId="2" borderId="32" xfId="1" applyFont="1" applyFill="1" applyBorder="1" applyAlignment="1" applyProtection="1">
      <alignment vertical="center" wrapText="1"/>
      <protection hidden="1"/>
    </xf>
    <xf numFmtId="164" fontId="18" fillId="2" borderId="10" xfId="1" applyNumberFormat="1" applyFont="1" applyFill="1" applyBorder="1" applyAlignment="1" applyProtection="1">
      <alignment horizontal="center" vertical="center"/>
      <protection hidden="1"/>
    </xf>
    <xf numFmtId="0" fontId="18" fillId="7" borderId="103" xfId="1" applyFont="1" applyFill="1" applyBorder="1" applyAlignment="1" applyProtection="1">
      <alignment horizontal="center" vertical="center"/>
      <protection hidden="1"/>
    </xf>
    <xf numFmtId="0" fontId="18" fillId="7" borderId="104" xfId="1" applyFont="1" applyFill="1" applyBorder="1" applyAlignment="1" applyProtection="1">
      <alignment horizontal="center" vertical="center"/>
      <protection hidden="1"/>
    </xf>
    <xf numFmtId="0" fontId="76" fillId="7" borderId="104" xfId="1" applyFont="1" applyFill="1" applyBorder="1" applyAlignment="1" applyProtection="1">
      <alignment horizontal="center" vertical="center"/>
      <protection hidden="1"/>
    </xf>
    <xf numFmtId="0" fontId="18" fillId="7" borderId="33" xfId="1" applyFont="1" applyFill="1" applyBorder="1" applyAlignment="1" applyProtection="1">
      <alignment vertical="center" wrapText="1"/>
      <protection hidden="1"/>
    </xf>
    <xf numFmtId="164" fontId="18" fillId="7" borderId="34" xfId="1" applyNumberFormat="1" applyFont="1" applyFill="1" applyBorder="1" applyAlignment="1" applyProtection="1">
      <alignment horizontal="center" vertical="center"/>
      <protection hidden="1"/>
    </xf>
    <xf numFmtId="0" fontId="41" fillId="6" borderId="108" xfId="1" applyFont="1" applyFill="1" applyBorder="1" applyAlignment="1" applyProtection="1">
      <alignment horizontal="center" vertical="center"/>
      <protection hidden="1"/>
    </xf>
    <xf numFmtId="0" fontId="41" fillId="6" borderId="109" xfId="1" applyFont="1" applyFill="1" applyBorder="1" applyAlignment="1" applyProtection="1">
      <alignment horizontal="center" vertical="center"/>
      <protection hidden="1"/>
    </xf>
    <xf numFmtId="0" fontId="41" fillId="6" borderId="73" xfId="1" applyFont="1" applyFill="1" applyBorder="1" applyAlignment="1" applyProtection="1">
      <alignment horizontal="center" vertical="center"/>
      <protection hidden="1"/>
    </xf>
    <xf numFmtId="0" fontId="41" fillId="6" borderId="49" xfId="1" applyFont="1" applyFill="1" applyBorder="1" applyAlignment="1" applyProtection="1">
      <alignment vertical="center" wrapText="1"/>
      <protection hidden="1"/>
    </xf>
    <xf numFmtId="164" fontId="41" fillId="6" borderId="50" xfId="1" applyNumberFormat="1" applyFont="1" applyFill="1" applyBorder="1" applyAlignment="1" applyProtection="1">
      <alignment horizontal="center" vertical="center"/>
      <protection hidden="1"/>
    </xf>
    <xf numFmtId="0" fontId="41" fillId="6" borderId="109" xfId="0" applyFont="1" applyFill="1" applyBorder="1" applyAlignment="1" applyProtection="1">
      <alignment horizontal="center" vertical="center"/>
      <protection hidden="1"/>
    </xf>
    <xf numFmtId="0" fontId="41" fillId="6" borderId="71" xfId="1" applyFont="1" applyFill="1" applyBorder="1" applyAlignment="1" applyProtection="1">
      <alignment vertical="center" wrapText="1"/>
      <protection hidden="1"/>
    </xf>
    <xf numFmtId="164" fontId="41" fillId="6" borderId="72" xfId="1" applyNumberFormat="1" applyFont="1" applyFill="1" applyBorder="1" applyAlignment="1" applyProtection="1">
      <alignment horizontal="center" vertical="center"/>
      <protection hidden="1"/>
    </xf>
    <xf numFmtId="0" fontId="81" fillId="6" borderId="12" xfId="1" applyFont="1" applyFill="1" applyBorder="1" applyAlignment="1" applyProtection="1">
      <alignment horizontal="center" vertical="center"/>
      <protection hidden="1"/>
    </xf>
    <xf numFmtId="0" fontId="81" fillId="6" borderId="0" xfId="0" applyFont="1" applyFill="1" applyAlignment="1" applyProtection="1">
      <alignment horizontal="center" vertical="center"/>
      <protection hidden="1"/>
    </xf>
    <xf numFmtId="0" fontId="81" fillId="6" borderId="0" xfId="1" applyFont="1" applyFill="1" applyBorder="1" applyAlignment="1" applyProtection="1">
      <alignment horizontal="center" vertical="center"/>
      <protection hidden="1"/>
    </xf>
    <xf numFmtId="0" fontId="82" fillId="6" borderId="0" xfId="1" applyFont="1" applyFill="1" applyBorder="1" applyAlignment="1" applyProtection="1">
      <alignment horizontal="center" vertical="center"/>
      <protection hidden="1"/>
    </xf>
    <xf numFmtId="0" fontId="82" fillId="6" borderId="3" xfId="1" applyFont="1" applyFill="1" applyBorder="1" applyAlignment="1" applyProtection="1">
      <alignment horizontal="center" vertical="center"/>
      <protection hidden="1"/>
    </xf>
    <xf numFmtId="0" fontId="82" fillId="6" borderId="5" xfId="1" applyFont="1" applyFill="1" applyBorder="1" applyAlignment="1" applyProtection="1">
      <alignment horizontal="left" vertical="center" wrapText="1" indent="2"/>
      <protection hidden="1"/>
    </xf>
    <xf numFmtId="164" fontId="82" fillId="6" borderId="4" xfId="1" applyNumberFormat="1" applyFont="1" applyFill="1" applyBorder="1" applyAlignment="1" applyProtection="1">
      <alignment horizontal="center" vertical="center"/>
      <protection hidden="1"/>
    </xf>
    <xf numFmtId="0" fontId="82" fillId="6" borderId="49" xfId="1" applyFont="1" applyFill="1" applyBorder="1" applyAlignment="1" applyProtection="1">
      <alignment horizontal="left" vertical="center" wrapText="1" indent="2"/>
      <protection hidden="1"/>
    </xf>
    <xf numFmtId="164" fontId="82" fillId="6" borderId="50" xfId="1" applyNumberFormat="1" applyFont="1" applyFill="1" applyBorder="1" applyAlignment="1" applyProtection="1">
      <alignment horizontal="center" vertical="center"/>
      <protection hidden="1"/>
    </xf>
    <xf numFmtId="0" fontId="41" fillId="6" borderId="108" xfId="0" applyFont="1" applyFill="1" applyBorder="1" applyAlignment="1" applyProtection="1">
      <alignment horizontal="center" vertical="center"/>
      <protection hidden="1"/>
    </xf>
    <xf numFmtId="0" fontId="41" fillId="6" borderId="36" xfId="1" applyFont="1" applyFill="1" applyBorder="1" applyAlignment="1" applyProtection="1">
      <alignment vertical="center" wrapText="1"/>
      <protection hidden="1"/>
    </xf>
    <xf numFmtId="164" fontId="41" fillId="5" borderId="37" xfId="1" applyNumberFormat="1" applyFont="1" applyFill="1" applyBorder="1" applyAlignment="1" applyProtection="1">
      <alignment horizontal="center" vertical="center"/>
      <protection hidden="1"/>
    </xf>
    <xf numFmtId="164" fontId="41" fillId="6" borderId="37" xfId="1" applyNumberFormat="1" applyFont="1" applyFill="1" applyBorder="1" applyAlignment="1" applyProtection="1">
      <alignment horizontal="center" vertical="center"/>
      <protection hidden="1"/>
    </xf>
    <xf numFmtId="0" fontId="83" fillId="6" borderId="12" xfId="0" applyFont="1" applyFill="1" applyBorder="1" applyAlignment="1" applyProtection="1">
      <alignment horizontal="center" vertical="center"/>
      <protection hidden="1"/>
    </xf>
    <xf numFmtId="0" fontId="83" fillId="6" borderId="0" xfId="0" applyFont="1" applyFill="1" applyAlignment="1" applyProtection="1">
      <alignment horizontal="center" vertical="center"/>
      <protection hidden="1"/>
    </xf>
    <xf numFmtId="0" fontId="83" fillId="6" borderId="22" xfId="0" applyFont="1" applyFill="1" applyBorder="1" applyAlignment="1" applyProtection="1">
      <alignment horizontal="center" vertical="center"/>
      <protection hidden="1"/>
    </xf>
    <xf numFmtId="0" fontId="83" fillId="6" borderId="13" xfId="0" applyFont="1" applyFill="1" applyBorder="1" applyAlignment="1" applyProtection="1">
      <alignment horizontal="center" vertical="center"/>
      <protection hidden="1"/>
    </xf>
    <xf numFmtId="0" fontId="82" fillId="6" borderId="13" xfId="1" applyFont="1" applyFill="1" applyBorder="1" applyAlignment="1" applyProtection="1">
      <alignment horizontal="center" vertical="center"/>
      <protection hidden="1"/>
    </xf>
    <xf numFmtId="0" fontId="82" fillId="6" borderId="18" xfId="1" applyFont="1" applyFill="1" applyBorder="1" applyAlignment="1" applyProtection="1">
      <alignment horizontal="center" vertical="center"/>
      <protection hidden="1"/>
    </xf>
    <xf numFmtId="0" fontId="83" fillId="6" borderId="12" xfId="1" applyFont="1" applyFill="1" applyBorder="1" applyAlignment="1" applyProtection="1">
      <alignment horizontal="center" vertical="center"/>
      <protection hidden="1"/>
    </xf>
    <xf numFmtId="0" fontId="83" fillId="6" borderId="22" xfId="1" applyFont="1" applyFill="1" applyBorder="1" applyAlignment="1" applyProtection="1">
      <alignment horizontal="center" vertical="center"/>
      <protection hidden="1"/>
    </xf>
    <xf numFmtId="0" fontId="18" fillId="7" borderId="23" xfId="1" applyFont="1" applyFill="1" applyBorder="1" applyAlignment="1" applyProtection="1">
      <alignment horizontal="center" vertical="center"/>
      <protection hidden="1"/>
    </xf>
    <xf numFmtId="0" fontId="18" fillId="7" borderId="24" xfId="1" applyFont="1" applyFill="1" applyBorder="1" applyAlignment="1" applyProtection="1">
      <alignment horizontal="center" vertical="center"/>
      <protection hidden="1"/>
    </xf>
    <xf numFmtId="0" fontId="83" fillId="6" borderId="28" xfId="1" applyFont="1" applyFill="1" applyBorder="1" applyAlignment="1" applyProtection="1">
      <alignment horizontal="center" vertical="center"/>
      <protection hidden="1"/>
    </xf>
    <xf numFmtId="0" fontId="83" fillId="6" borderId="14" xfId="0" applyFont="1" applyFill="1" applyBorder="1" applyAlignment="1" applyProtection="1">
      <alignment horizontal="center" vertical="center"/>
      <protection hidden="1"/>
    </xf>
    <xf numFmtId="0" fontId="82" fillId="6" borderId="14" xfId="1" applyFont="1" applyFill="1" applyBorder="1" applyAlignment="1" applyProtection="1">
      <alignment horizontal="center" vertical="center"/>
      <protection hidden="1"/>
    </xf>
    <xf numFmtId="0" fontId="82" fillId="6" borderId="9" xfId="1" applyFont="1" applyFill="1" applyBorder="1" applyAlignment="1" applyProtection="1">
      <alignment horizontal="left" vertical="center" wrapText="1" indent="2"/>
      <protection hidden="1"/>
    </xf>
    <xf numFmtId="164" fontId="82" fillId="6" borderId="8" xfId="1" applyNumberFormat="1" applyFont="1" applyFill="1" applyBorder="1" applyAlignment="1" applyProtection="1">
      <alignment horizontal="center" vertical="center"/>
      <protection hidden="1"/>
    </xf>
    <xf numFmtId="0" fontId="76" fillId="7" borderId="24" xfId="1" applyFont="1" applyFill="1" applyBorder="1" applyAlignment="1" applyProtection="1">
      <alignment horizontal="center" vertical="center"/>
      <protection hidden="1"/>
    </xf>
    <xf numFmtId="164" fontId="41" fillId="5" borderId="72" xfId="1" applyNumberFormat="1" applyFont="1" applyFill="1" applyBorder="1" applyAlignment="1" applyProtection="1">
      <alignment horizontal="center" vertical="center"/>
      <protection hidden="1"/>
    </xf>
    <xf numFmtId="164" fontId="82" fillId="5" borderId="4" xfId="1" applyNumberFormat="1" applyFont="1" applyFill="1" applyBorder="1" applyAlignment="1" applyProtection="1">
      <alignment horizontal="center" vertical="center"/>
      <protection hidden="1"/>
    </xf>
    <xf numFmtId="164" fontId="82" fillId="5" borderId="50" xfId="1" applyNumberFormat="1" applyFont="1" applyFill="1" applyBorder="1" applyAlignment="1" applyProtection="1">
      <alignment horizontal="center" vertical="center"/>
      <protection hidden="1"/>
    </xf>
    <xf numFmtId="0" fontId="41" fillId="6" borderId="113" xfId="0" applyFont="1" applyFill="1" applyBorder="1" applyAlignment="1" applyProtection="1">
      <alignment horizontal="center" vertical="center"/>
      <protection hidden="1"/>
    </xf>
    <xf numFmtId="0" fontId="41" fillId="6" borderId="114" xfId="0" applyFont="1" applyFill="1" applyBorder="1" applyAlignment="1" applyProtection="1">
      <alignment horizontal="center" vertical="center"/>
      <protection hidden="1"/>
    </xf>
    <xf numFmtId="0" fontId="41" fillId="6" borderId="114" xfId="1" applyFont="1" applyFill="1" applyBorder="1" applyAlignment="1" applyProtection="1">
      <alignment horizontal="center" vertical="center"/>
      <protection hidden="1"/>
    </xf>
    <xf numFmtId="0" fontId="41" fillId="6" borderId="55" xfId="1" applyFont="1" applyFill="1" applyBorder="1" applyAlignment="1" applyProtection="1">
      <alignment horizontal="center" vertical="center"/>
      <protection hidden="1"/>
    </xf>
    <xf numFmtId="0" fontId="84" fillId="6" borderId="12" xfId="1" applyFont="1" applyFill="1" applyBorder="1" applyAlignment="1" applyProtection="1">
      <alignment horizontal="center" vertical="center"/>
      <protection hidden="1"/>
    </xf>
    <xf numFmtId="0" fontId="84" fillId="0" borderId="0" xfId="0" applyFont="1" applyAlignment="1" applyProtection="1">
      <alignment horizontal="center" vertical="center"/>
      <protection hidden="1"/>
    </xf>
    <xf numFmtId="0" fontId="84" fillId="6" borderId="0" xfId="1" applyFont="1" applyFill="1" applyBorder="1" applyAlignment="1" applyProtection="1">
      <alignment horizontal="center" vertical="center"/>
      <protection hidden="1"/>
    </xf>
    <xf numFmtId="0" fontId="84" fillId="6" borderId="3" xfId="1" applyFont="1" applyFill="1" applyBorder="1" applyAlignment="1" applyProtection="1">
      <alignment horizontal="center" vertical="center"/>
      <protection hidden="1"/>
    </xf>
    <xf numFmtId="0" fontId="84" fillId="6" borderId="5" xfId="1" applyFont="1" applyFill="1" applyBorder="1" applyAlignment="1" applyProtection="1">
      <alignment horizontal="left" vertical="center" wrapText="1" indent="4"/>
      <protection hidden="1"/>
    </xf>
    <xf numFmtId="164" fontId="84" fillId="5" borderId="4" xfId="1" applyNumberFormat="1" applyFont="1" applyFill="1" applyBorder="1" applyAlignment="1" applyProtection="1">
      <alignment horizontal="center" vertical="center"/>
      <protection hidden="1"/>
    </xf>
    <xf numFmtId="0" fontId="84" fillId="0" borderId="12" xfId="0" applyFont="1" applyBorder="1" applyAlignment="1" applyProtection="1">
      <alignment horizontal="center" vertical="center"/>
      <protection hidden="1"/>
    </xf>
    <xf numFmtId="0" fontId="84" fillId="6" borderId="49" xfId="1" applyFont="1" applyFill="1" applyBorder="1" applyAlignment="1" applyProtection="1">
      <alignment horizontal="left" vertical="center" wrapText="1" indent="4"/>
      <protection hidden="1"/>
    </xf>
    <xf numFmtId="164" fontId="84" fillId="5" borderId="50" xfId="1" applyNumberFormat="1" applyFont="1" applyFill="1" applyBorder="1" applyAlignment="1" applyProtection="1">
      <alignment horizontal="center" vertical="center"/>
      <protection hidden="1"/>
    </xf>
    <xf numFmtId="0" fontId="81" fillId="0" borderId="0" xfId="0" applyFont="1" applyAlignment="1" applyProtection="1">
      <alignment horizontal="center" vertical="center"/>
      <protection hidden="1"/>
    </xf>
    <xf numFmtId="0" fontId="41" fillId="6" borderId="110" xfId="0" applyFont="1" applyFill="1" applyBorder="1" applyAlignment="1" applyProtection="1">
      <alignment horizontal="center" vertical="center"/>
      <protection hidden="1"/>
    </xf>
    <xf numFmtId="0" fontId="41" fillId="6" borderId="111" xfId="0" applyFont="1" applyFill="1" applyBorder="1" applyAlignment="1" applyProtection="1">
      <alignment horizontal="center" vertical="center"/>
      <protection hidden="1"/>
    </xf>
    <xf numFmtId="0" fontId="41" fillId="6" borderId="111" xfId="1" applyFont="1" applyFill="1" applyBorder="1" applyAlignment="1" applyProtection="1">
      <alignment horizontal="center" vertical="center"/>
      <protection hidden="1"/>
    </xf>
    <xf numFmtId="0" fontId="41" fillId="6" borderId="56" xfId="1" applyFont="1" applyFill="1" applyBorder="1" applyAlignment="1" applyProtection="1">
      <alignment horizontal="center" vertical="center"/>
      <protection hidden="1"/>
    </xf>
    <xf numFmtId="0" fontId="41" fillId="6" borderId="23" xfId="0" applyFont="1" applyFill="1" applyBorder="1" applyAlignment="1" applyProtection="1">
      <alignment horizontal="center" vertical="center"/>
      <protection hidden="1"/>
    </xf>
    <xf numFmtId="0" fontId="41" fillId="6" borderId="24" xfId="0" applyFont="1" applyFill="1" applyBorder="1" applyAlignment="1" applyProtection="1">
      <alignment horizontal="center" vertical="center"/>
      <protection hidden="1"/>
    </xf>
    <xf numFmtId="0" fontId="41" fillId="6" borderId="24" xfId="1" applyFont="1" applyFill="1" applyBorder="1" applyAlignment="1" applyProtection="1">
      <alignment horizontal="center" vertical="center"/>
      <protection hidden="1"/>
    </xf>
    <xf numFmtId="0" fontId="41" fillId="6" borderId="44" xfId="1" applyFont="1" applyFill="1" applyBorder="1" applyAlignment="1" applyProtection="1">
      <alignment horizontal="center" vertical="center"/>
      <protection hidden="1"/>
    </xf>
    <xf numFmtId="0" fontId="41" fillId="6" borderId="41" xfId="1" applyFont="1" applyFill="1" applyBorder="1" applyAlignment="1" applyProtection="1">
      <alignment vertical="center" wrapText="1"/>
      <protection hidden="1"/>
    </xf>
    <xf numFmtId="164" fontId="41" fillId="5" borderId="42" xfId="1" applyNumberFormat="1" applyFont="1" applyFill="1" applyBorder="1" applyAlignment="1" applyProtection="1">
      <alignment horizontal="center" vertical="center"/>
      <protection hidden="1"/>
    </xf>
    <xf numFmtId="0" fontId="78" fillId="8" borderId="26" xfId="0" applyFont="1" applyFill="1" applyBorder="1" applyAlignment="1" applyProtection="1">
      <alignment horizontal="center" vertical="center"/>
      <protection hidden="1"/>
    </xf>
    <xf numFmtId="0" fontId="79" fillId="2" borderId="31" xfId="1" applyFont="1" applyFill="1" applyBorder="1" applyAlignment="1" applyProtection="1">
      <alignment horizontal="center" vertical="center"/>
      <protection hidden="1"/>
    </xf>
    <xf numFmtId="0" fontId="18" fillId="7" borderId="52" xfId="1" applyFont="1" applyFill="1" applyBorder="1" applyAlignment="1" applyProtection="1">
      <alignment horizontal="center" vertical="center"/>
      <protection hidden="1"/>
    </xf>
    <xf numFmtId="0" fontId="41" fillId="0" borderId="106" xfId="1" applyFont="1" applyFill="1" applyBorder="1" applyAlignment="1" applyProtection="1">
      <alignment horizontal="center" vertical="center"/>
      <protection hidden="1"/>
    </xf>
    <xf numFmtId="0" fontId="41" fillId="0" borderId="107" xfId="1" applyFont="1" applyFill="1" applyBorder="1" applyAlignment="1" applyProtection="1">
      <alignment horizontal="center" vertical="center"/>
      <protection hidden="1"/>
    </xf>
    <xf numFmtId="0" fontId="41" fillId="0" borderId="54" xfId="1" applyFont="1" applyFill="1" applyBorder="1" applyAlignment="1" applyProtection="1">
      <alignment horizontal="center" vertical="center"/>
      <protection hidden="1"/>
    </xf>
    <xf numFmtId="0" fontId="41" fillId="0" borderId="49" xfId="1" applyFont="1" applyFill="1" applyBorder="1" applyAlignment="1" applyProtection="1">
      <alignment vertical="center" wrapText="1"/>
      <protection hidden="1"/>
    </xf>
    <xf numFmtId="164" fontId="41" fillId="5" borderId="50" xfId="1" applyNumberFormat="1" applyFont="1" applyFill="1" applyBorder="1" applyAlignment="1" applyProtection="1">
      <alignment horizontal="center" vertical="center"/>
      <protection hidden="1"/>
    </xf>
    <xf numFmtId="0" fontId="41" fillId="0" borderId="36" xfId="1" applyFont="1" applyFill="1" applyBorder="1" applyAlignment="1" applyProtection="1">
      <alignment vertical="center" wrapText="1"/>
      <protection hidden="1"/>
    </xf>
    <xf numFmtId="0" fontId="41" fillId="0" borderId="113" xfId="1" applyFont="1" applyFill="1" applyBorder="1" applyAlignment="1" applyProtection="1">
      <alignment horizontal="center" vertical="center"/>
      <protection hidden="1"/>
    </xf>
    <xf numFmtId="0" fontId="41" fillId="0" borderId="114" xfId="0" applyFont="1" applyBorder="1" applyAlignment="1" applyProtection="1">
      <alignment horizontal="center" vertical="center"/>
      <protection hidden="1"/>
    </xf>
    <xf numFmtId="0" fontId="41" fillId="0" borderId="114" xfId="1" applyFont="1" applyFill="1" applyBorder="1" applyAlignment="1" applyProtection="1">
      <alignment horizontal="center" vertical="center"/>
      <protection hidden="1"/>
    </xf>
    <xf numFmtId="0" fontId="41" fillId="0" borderId="55" xfId="1" applyFont="1" applyFill="1" applyBorder="1" applyAlignment="1" applyProtection="1">
      <alignment horizontal="center" vertical="center"/>
      <protection hidden="1"/>
    </xf>
    <xf numFmtId="0" fontId="41" fillId="0" borderId="106" xfId="0" applyFont="1" applyBorder="1" applyAlignment="1" applyProtection="1">
      <alignment horizontal="center" vertical="center"/>
      <protection hidden="1"/>
    </xf>
    <xf numFmtId="0" fontId="41" fillId="0" borderId="107" xfId="0" applyFont="1" applyBorder="1" applyAlignment="1" applyProtection="1">
      <alignment horizontal="center" vertical="center"/>
      <protection hidden="1"/>
    </xf>
    <xf numFmtId="0" fontId="41" fillId="0" borderId="108" xfId="0" applyFont="1" applyBorder="1" applyAlignment="1" applyProtection="1">
      <alignment horizontal="center" vertical="center"/>
      <protection hidden="1"/>
    </xf>
    <xf numFmtId="0" fontId="41" fillId="0" borderId="109" xfId="0" applyFont="1" applyBorder="1" applyAlignment="1" applyProtection="1">
      <alignment horizontal="center" vertical="center"/>
      <protection hidden="1"/>
    </xf>
    <xf numFmtId="0" fontId="41" fillId="0" borderId="109" xfId="1" applyFont="1" applyFill="1" applyBorder="1" applyAlignment="1" applyProtection="1">
      <alignment horizontal="center" vertical="center"/>
      <protection hidden="1"/>
    </xf>
    <xf numFmtId="0" fontId="41" fillId="0" borderId="73" xfId="1" applyFont="1" applyFill="1" applyBorder="1" applyAlignment="1" applyProtection="1">
      <alignment horizontal="center" vertical="center"/>
      <protection hidden="1"/>
    </xf>
    <xf numFmtId="0" fontId="83" fillId="0" borderId="12" xfId="0" applyFont="1" applyBorder="1" applyAlignment="1" applyProtection="1">
      <alignment horizontal="center" vertical="center"/>
      <protection hidden="1"/>
    </xf>
    <xf numFmtId="0" fontId="83" fillId="0" borderId="0" xfId="0" applyFont="1" applyAlignment="1" applyProtection="1">
      <alignment horizontal="center" vertical="center"/>
      <protection hidden="1"/>
    </xf>
    <xf numFmtId="0" fontId="82" fillId="0" borderId="0" xfId="1" applyFont="1" applyFill="1" applyBorder="1" applyAlignment="1" applyProtection="1">
      <alignment horizontal="center" vertical="center"/>
      <protection hidden="1"/>
    </xf>
    <xf numFmtId="0" fontId="82" fillId="6" borderId="5" xfId="1" applyFont="1" applyFill="1" applyBorder="1" applyAlignment="1" applyProtection="1">
      <alignment vertical="center" wrapText="1"/>
      <protection hidden="1"/>
    </xf>
    <xf numFmtId="0" fontId="83" fillId="0" borderId="12" xfId="1" applyFont="1" applyFill="1" applyBorder="1" applyAlignment="1" applyProtection="1">
      <alignment horizontal="center" vertical="center"/>
      <protection hidden="1"/>
    </xf>
    <xf numFmtId="0" fontId="83" fillId="0" borderId="0" xfId="1" applyFont="1" applyFill="1" applyBorder="1" applyAlignment="1" applyProtection="1">
      <alignment horizontal="center" vertical="center"/>
      <protection hidden="1"/>
    </xf>
    <xf numFmtId="0" fontId="82" fillId="0" borderId="5" xfId="1" applyFont="1" applyFill="1" applyBorder="1" applyAlignment="1" applyProtection="1">
      <alignment vertical="center" wrapText="1"/>
      <protection hidden="1"/>
    </xf>
    <xf numFmtId="164" fontId="82" fillId="0" borderId="4" xfId="1" applyNumberFormat="1" applyFont="1" applyFill="1" applyBorder="1" applyAlignment="1" applyProtection="1">
      <alignment horizontal="center" vertical="center"/>
      <protection hidden="1"/>
    </xf>
    <xf numFmtId="0" fontId="82" fillId="0" borderId="12" xfId="1" applyFont="1" applyFill="1" applyBorder="1" applyAlignment="1" applyProtection="1">
      <alignment horizontal="center" vertical="center"/>
      <protection hidden="1"/>
    </xf>
    <xf numFmtId="0" fontId="82" fillId="0" borderId="49" xfId="1" applyFont="1" applyFill="1" applyBorder="1" applyAlignment="1" applyProtection="1">
      <alignment vertical="center" wrapText="1"/>
      <protection hidden="1"/>
    </xf>
    <xf numFmtId="164" fontId="82" fillId="0" borderId="50" xfId="1" applyNumberFormat="1" applyFont="1" applyFill="1" applyBorder="1" applyAlignment="1" applyProtection="1">
      <alignment horizontal="center" vertical="center"/>
      <protection hidden="1"/>
    </xf>
    <xf numFmtId="164" fontId="41" fillId="0" borderId="37" xfId="1" applyNumberFormat="1" applyFont="1" applyFill="1" applyBorder="1" applyAlignment="1" applyProtection="1">
      <alignment horizontal="center" vertical="center"/>
      <protection hidden="1"/>
    </xf>
    <xf numFmtId="0" fontId="18" fillId="7" borderId="66" xfId="1" applyFont="1" applyFill="1" applyBorder="1" applyAlignment="1" applyProtection="1">
      <alignment horizontal="center" vertical="center"/>
      <protection hidden="1"/>
    </xf>
    <xf numFmtId="0" fontId="18" fillId="7" borderId="67" xfId="1" applyFont="1" applyFill="1" applyBorder="1" applyAlignment="1" applyProtection="1">
      <alignment horizontal="center" vertical="center"/>
      <protection hidden="1"/>
    </xf>
    <xf numFmtId="0" fontId="18" fillId="7" borderId="68" xfId="1" applyFont="1" applyFill="1" applyBorder="1" applyAlignment="1" applyProtection="1">
      <alignment horizontal="center" vertical="center"/>
      <protection hidden="1"/>
    </xf>
    <xf numFmtId="0" fontId="18" fillId="7" borderId="69" xfId="1" applyFont="1" applyFill="1" applyBorder="1" applyAlignment="1" applyProtection="1">
      <alignment vertical="center" wrapText="1"/>
      <protection hidden="1"/>
    </xf>
    <xf numFmtId="164" fontId="18" fillId="7" borderId="48" xfId="1" applyNumberFormat="1" applyFont="1" applyFill="1" applyBorder="1" applyAlignment="1" applyProtection="1">
      <alignment horizontal="center" vertical="center"/>
      <protection hidden="1"/>
    </xf>
    <xf numFmtId="0" fontId="18" fillId="8" borderId="20" xfId="1" applyFont="1" applyFill="1" applyBorder="1" applyAlignment="1" applyProtection="1">
      <alignment horizontal="center" vertical="center"/>
      <protection hidden="1"/>
    </xf>
    <xf numFmtId="0" fontId="18" fillId="8" borderId="19" xfId="0" applyFont="1" applyFill="1" applyBorder="1" applyAlignment="1" applyProtection="1">
      <alignment horizontal="center" vertical="center"/>
      <protection hidden="1"/>
    </xf>
    <xf numFmtId="0" fontId="18" fillId="8" borderId="26" xfId="0" applyFont="1" applyFill="1" applyBorder="1" applyAlignment="1" applyProtection="1">
      <alignment horizontal="center" vertical="center"/>
      <protection hidden="1"/>
    </xf>
    <xf numFmtId="0" fontId="18" fillId="2" borderId="30" xfId="1" applyFont="1" applyFill="1" applyBorder="1" applyAlignment="1" applyProtection="1">
      <alignment horizontal="center" vertical="center"/>
      <protection hidden="1"/>
    </xf>
    <xf numFmtId="0" fontId="18" fillId="2" borderId="31" xfId="1" applyFont="1" applyFill="1" applyBorder="1" applyAlignment="1" applyProtection="1">
      <alignment horizontal="center" vertical="center"/>
      <protection hidden="1"/>
    </xf>
    <xf numFmtId="0" fontId="41" fillId="0" borderId="108" xfId="1" applyFont="1" applyFill="1" applyBorder="1" applyAlignment="1" applyProtection="1">
      <alignment horizontal="center" vertical="center"/>
      <protection hidden="1"/>
    </xf>
    <xf numFmtId="0" fontId="41" fillId="0" borderId="71" xfId="1" applyFont="1" applyFill="1" applyBorder="1" applyAlignment="1" applyProtection="1">
      <alignment vertical="center" wrapText="1"/>
      <protection hidden="1"/>
    </xf>
    <xf numFmtId="0" fontId="82" fillId="0" borderId="0" xfId="0" applyFont="1" applyAlignment="1" applyProtection="1">
      <alignment horizontal="center" vertical="center"/>
      <protection hidden="1"/>
    </xf>
    <xf numFmtId="0" fontId="41" fillId="0" borderId="110" xfId="1" applyFont="1" applyFill="1" applyBorder="1" applyAlignment="1" applyProtection="1">
      <alignment horizontal="center" vertical="center"/>
      <protection hidden="1"/>
    </xf>
    <xf numFmtId="0" fontId="41" fillId="0" borderId="111" xfId="1" applyFont="1" applyFill="1" applyBorder="1" applyAlignment="1" applyProtection="1">
      <alignment horizontal="center" vertical="center"/>
      <protection hidden="1"/>
    </xf>
    <xf numFmtId="0" fontId="41" fillId="0" borderId="56" xfId="1" applyFont="1" applyFill="1" applyBorder="1" applyAlignment="1" applyProtection="1">
      <alignment horizontal="center" vertical="center"/>
      <protection hidden="1"/>
    </xf>
    <xf numFmtId="0" fontId="41" fillId="0" borderId="41" xfId="1" applyFont="1" applyFill="1" applyBorder="1" applyAlignment="1" applyProtection="1">
      <alignment vertical="center" wrapText="1"/>
      <protection hidden="1"/>
    </xf>
    <xf numFmtId="0" fontId="41" fillId="7" borderId="15" xfId="1" applyFont="1" applyFill="1" applyBorder="1" applyAlignment="1" applyProtection="1">
      <alignment horizontal="left" vertical="center"/>
      <protection hidden="1"/>
    </xf>
    <xf numFmtId="0" fontId="41" fillId="7" borderId="30" xfId="0" applyFont="1" applyFill="1" applyBorder="1" applyAlignment="1" applyProtection="1">
      <alignment horizontal="center" vertical="center"/>
      <protection hidden="1"/>
    </xf>
    <xf numFmtId="0" fontId="41" fillId="7" borderId="31" xfId="0" applyFont="1" applyFill="1" applyBorder="1" applyAlignment="1" applyProtection="1">
      <alignment horizontal="center" vertical="center"/>
      <protection hidden="1"/>
    </xf>
    <xf numFmtId="0" fontId="41" fillId="7" borderId="32" xfId="1" applyFont="1" applyFill="1" applyBorder="1" applyAlignment="1" applyProtection="1">
      <alignment vertical="center" wrapText="1"/>
      <protection hidden="1"/>
    </xf>
    <xf numFmtId="165" fontId="41" fillId="7" borderId="10" xfId="1" applyNumberFormat="1" applyFont="1" applyFill="1" applyBorder="1" applyAlignment="1" applyProtection="1">
      <alignment horizontal="center" vertical="center"/>
      <protection hidden="1"/>
    </xf>
    <xf numFmtId="0" fontId="41" fillId="7" borderId="23" xfId="1" applyFont="1" applyFill="1" applyBorder="1" applyAlignment="1" applyProtection="1">
      <alignment horizontal="left" vertical="center"/>
      <protection hidden="1"/>
    </xf>
    <xf numFmtId="0" fontId="41" fillId="7" borderId="24" xfId="1" applyFont="1" applyFill="1" applyBorder="1" applyAlignment="1" applyProtection="1">
      <alignment horizontal="center" vertical="center"/>
      <protection hidden="1"/>
    </xf>
    <xf numFmtId="0" fontId="41" fillId="7" borderId="44" xfId="1" applyFont="1" applyFill="1" applyBorder="1" applyAlignment="1" applyProtection="1">
      <alignment horizontal="center" vertical="center"/>
      <protection hidden="1"/>
    </xf>
    <xf numFmtId="0" fontId="41" fillId="7" borderId="51" xfId="1" applyFont="1" applyFill="1" applyBorder="1" applyAlignment="1" applyProtection="1">
      <alignment vertical="center" wrapText="1"/>
      <protection hidden="1"/>
    </xf>
    <xf numFmtId="165" fontId="41" fillId="7" borderId="46" xfId="1" applyNumberFormat="1" applyFont="1" applyFill="1" applyBorder="1" applyAlignment="1" applyProtection="1">
      <alignment horizontal="center" vertical="center"/>
      <protection hidden="1"/>
    </xf>
    <xf numFmtId="0" fontId="41" fillId="7" borderId="103" xfId="1" applyFont="1" applyFill="1" applyBorder="1" applyAlignment="1" applyProtection="1">
      <alignment horizontal="left" vertical="center"/>
      <protection hidden="1"/>
    </xf>
    <xf numFmtId="0" fontId="41" fillId="7" borderId="104" xfId="1" applyFont="1" applyFill="1" applyBorder="1" applyAlignment="1" applyProtection="1">
      <alignment horizontal="center" vertical="center"/>
      <protection hidden="1"/>
    </xf>
    <xf numFmtId="0" fontId="41" fillId="7" borderId="52" xfId="1" applyFont="1" applyFill="1" applyBorder="1" applyAlignment="1" applyProtection="1">
      <alignment horizontal="center" vertical="center"/>
      <protection hidden="1"/>
    </xf>
    <xf numFmtId="0" fontId="41" fillId="7" borderId="33" xfId="1" applyFont="1" applyFill="1" applyBorder="1" applyAlignment="1" applyProtection="1">
      <alignment vertical="center" wrapText="1"/>
      <protection hidden="1"/>
    </xf>
    <xf numFmtId="165" fontId="41" fillId="7" borderId="34" xfId="1" applyNumberFormat="1" applyFont="1" applyFill="1" applyBorder="1" applyAlignment="1" applyProtection="1">
      <alignment horizontal="center" vertical="center"/>
      <protection hidden="1"/>
    </xf>
    <xf numFmtId="0" fontId="41" fillId="0" borderId="12" xfId="1" applyFont="1" applyFill="1" applyBorder="1" applyAlignment="1" applyProtection="1">
      <alignment horizontal="left" vertical="center"/>
      <protection hidden="1"/>
    </xf>
    <xf numFmtId="0" fontId="41" fillId="0" borderId="0" xfId="1" applyFont="1" applyFill="1" applyBorder="1" applyAlignment="1" applyProtection="1">
      <alignment horizontal="center" vertical="center"/>
      <protection hidden="1"/>
    </xf>
    <xf numFmtId="0" fontId="41" fillId="0" borderId="5" xfId="1" applyFont="1" applyFill="1" applyBorder="1" applyAlignment="1" applyProtection="1">
      <alignment vertical="center" wrapText="1"/>
      <protection hidden="1"/>
    </xf>
    <xf numFmtId="165" fontId="41" fillId="0" borderId="4" xfId="1" applyNumberFormat="1" applyFont="1" applyFill="1" applyBorder="1" applyAlignment="1" applyProtection="1">
      <alignment horizontal="center" vertical="center"/>
      <protection hidden="1"/>
    </xf>
    <xf numFmtId="0" fontId="41" fillId="0" borderId="22" xfId="1" applyFont="1" applyFill="1" applyBorder="1" applyAlignment="1" applyProtection="1">
      <alignment horizontal="left" vertical="center"/>
      <protection hidden="1"/>
    </xf>
    <xf numFmtId="0" fontId="41" fillId="0" borderId="13" xfId="1" applyFont="1" applyFill="1" applyBorder="1" applyAlignment="1" applyProtection="1">
      <alignment horizontal="center" vertical="center"/>
      <protection hidden="1"/>
    </xf>
    <xf numFmtId="0" fontId="41" fillId="0" borderId="115" xfId="1" applyFont="1" applyFill="1" applyBorder="1" applyAlignment="1" applyProtection="1">
      <alignment vertical="center" wrapText="1"/>
      <protection hidden="1"/>
    </xf>
    <xf numFmtId="165" fontId="41" fillId="0" borderId="45" xfId="1" applyNumberFormat="1" applyFont="1" applyFill="1" applyBorder="1" applyAlignment="1" applyProtection="1">
      <alignment horizontal="center" vertical="center"/>
      <protection hidden="1"/>
    </xf>
    <xf numFmtId="0" fontId="82" fillId="0" borderId="12" xfId="1" applyFont="1" applyFill="1" applyBorder="1" applyAlignment="1" applyProtection="1">
      <alignment horizontal="left" vertical="center"/>
      <protection hidden="1"/>
    </xf>
    <xf numFmtId="0" fontId="82" fillId="0" borderId="5" xfId="1" applyFont="1" applyFill="1" applyBorder="1" applyAlignment="1" applyProtection="1">
      <alignment horizontal="left" vertical="center" wrapText="1" indent="2"/>
      <protection hidden="1"/>
    </xf>
    <xf numFmtId="165" fontId="82" fillId="0" borderId="4" xfId="1" applyNumberFormat="1" applyFont="1" applyFill="1" applyBorder="1" applyAlignment="1" applyProtection="1">
      <alignment horizontal="center" vertical="center"/>
      <protection hidden="1"/>
    </xf>
    <xf numFmtId="0" fontId="82" fillId="0" borderId="22" xfId="1" applyFont="1" applyFill="1" applyBorder="1" applyAlignment="1" applyProtection="1">
      <alignment horizontal="left" vertical="center"/>
      <protection hidden="1"/>
    </xf>
    <xf numFmtId="0" fontId="82" fillId="0" borderId="13" xfId="1" applyFont="1" applyFill="1" applyBorder="1" applyAlignment="1" applyProtection="1">
      <alignment horizontal="center" vertical="center"/>
      <protection hidden="1"/>
    </xf>
    <xf numFmtId="0" fontId="82" fillId="0" borderId="115" xfId="1" applyFont="1" applyFill="1" applyBorder="1" applyAlignment="1" applyProtection="1">
      <alignment horizontal="left" vertical="center" wrapText="1" indent="2"/>
      <protection hidden="1"/>
    </xf>
    <xf numFmtId="165" fontId="82" fillId="0" borderId="45" xfId="1" applyNumberFormat="1" applyFont="1" applyFill="1" applyBorder="1" applyAlignment="1" applyProtection="1">
      <alignment horizontal="center" vertical="center"/>
      <protection hidden="1"/>
    </xf>
    <xf numFmtId="165" fontId="41" fillId="5" borderId="4" xfId="1" applyNumberFormat="1" applyFont="1" applyFill="1" applyBorder="1" applyAlignment="1" applyProtection="1">
      <alignment horizontal="center" vertical="center"/>
      <protection hidden="1"/>
    </xf>
    <xf numFmtId="0" fontId="18" fillId="2" borderId="66" xfId="1" applyFont="1" applyFill="1" applyBorder="1" applyAlignment="1" applyProtection="1">
      <alignment horizontal="left" vertical="center"/>
      <protection hidden="1"/>
    </xf>
    <xf numFmtId="0" fontId="18" fillId="2" borderId="67" xfId="0" applyFont="1" applyFill="1" applyBorder="1" applyAlignment="1" applyProtection="1">
      <alignment horizontal="center" vertical="center"/>
      <protection hidden="1"/>
    </xf>
    <xf numFmtId="0" fontId="18" fillId="2" borderId="68" xfId="0" applyFont="1" applyFill="1" applyBorder="1" applyAlignment="1" applyProtection="1">
      <alignment horizontal="center" vertical="center"/>
      <protection hidden="1"/>
    </xf>
    <xf numFmtId="0" fontId="18" fillId="2" borderId="69" xfId="1" applyFont="1" applyFill="1" applyBorder="1" applyAlignment="1" applyProtection="1">
      <alignment vertical="center" wrapText="1"/>
      <protection hidden="1"/>
    </xf>
    <xf numFmtId="165" fontId="18" fillId="2" borderId="48" xfId="1" applyNumberFormat="1" applyFont="1" applyFill="1" applyBorder="1" applyAlignment="1" applyProtection="1">
      <alignment horizontal="center" vertical="center"/>
      <protection hidden="1"/>
    </xf>
    <xf numFmtId="0" fontId="18" fillId="8" borderId="66" xfId="1" applyFont="1" applyFill="1" applyBorder="1" applyAlignment="1" applyProtection="1">
      <alignment horizontal="left" vertical="center"/>
      <protection hidden="1"/>
    </xf>
    <xf numFmtId="0" fontId="18" fillId="8" borderId="67" xfId="0" applyFont="1" applyFill="1" applyBorder="1" applyAlignment="1" applyProtection="1">
      <alignment horizontal="center" vertical="center"/>
      <protection hidden="1"/>
    </xf>
    <xf numFmtId="0" fontId="18" fillId="8" borderId="68" xfId="0" applyFont="1" applyFill="1" applyBorder="1" applyAlignment="1" applyProtection="1">
      <alignment horizontal="center" vertical="center"/>
      <protection hidden="1"/>
    </xf>
    <xf numFmtId="0" fontId="18" fillId="8" borderId="69" xfId="1" applyFont="1" applyFill="1" applyBorder="1" applyAlignment="1" applyProtection="1">
      <alignment vertical="center" wrapText="1"/>
      <protection hidden="1"/>
    </xf>
    <xf numFmtId="165" fontId="18" fillId="8" borderId="48" xfId="1" applyNumberFormat="1" applyFont="1" applyFill="1" applyBorder="1" applyAlignment="1" applyProtection="1">
      <alignment horizontal="center" vertical="center"/>
      <protection hidden="1"/>
    </xf>
    <xf numFmtId="0" fontId="18" fillId="0" borderId="66" xfId="1" applyFont="1" applyFill="1" applyBorder="1" applyAlignment="1" applyProtection="1">
      <alignment horizontal="left"/>
      <protection hidden="1"/>
    </xf>
    <xf numFmtId="0" fontId="18" fillId="0" borderId="67" xfId="0" applyFont="1" applyBorder="1" applyAlignment="1" applyProtection="1">
      <alignment horizontal="center"/>
      <protection hidden="1"/>
    </xf>
    <xf numFmtId="0" fontId="18" fillId="0" borderId="68" xfId="0" applyFont="1" applyBorder="1" applyAlignment="1" applyProtection="1">
      <alignment horizontal="center"/>
      <protection hidden="1"/>
    </xf>
    <xf numFmtId="0" fontId="18" fillId="0" borderId="69" xfId="1" applyFont="1" applyFill="1" applyBorder="1" applyAlignment="1" applyProtection="1">
      <alignment wrapText="1"/>
      <protection hidden="1"/>
    </xf>
    <xf numFmtId="165" fontId="18" fillId="0" borderId="48" xfId="1" applyNumberFormat="1" applyFont="1" applyFill="1" applyBorder="1" applyAlignment="1" applyProtection="1">
      <alignment horizontal="center"/>
      <protection hidden="1"/>
    </xf>
    <xf numFmtId="3" fontId="5" fillId="14" borderId="93" xfId="0" applyNumberFormat="1" applyFont="1" applyFill="1" applyBorder="1" applyAlignment="1">
      <alignment horizontal="right" vertical="top"/>
    </xf>
    <xf numFmtId="3" fontId="5" fillId="14" borderId="119" xfId="0" applyNumberFormat="1" applyFont="1" applyFill="1" applyBorder="1" applyAlignment="1">
      <alignment horizontal="right" vertical="top"/>
    </xf>
    <xf numFmtId="3" fontId="5" fillId="15" borderId="117" xfId="0" applyNumberFormat="1" applyFont="1" applyFill="1" applyBorder="1" applyAlignment="1">
      <alignment horizontal="right" vertical="top"/>
    </xf>
    <xf numFmtId="3" fontId="5" fillId="15" borderId="93" xfId="0" applyNumberFormat="1" applyFont="1" applyFill="1" applyBorder="1" applyAlignment="1">
      <alignment horizontal="right" vertical="top"/>
    </xf>
    <xf numFmtId="3" fontId="5" fillId="15" borderId="118" xfId="0" applyNumberFormat="1" applyFont="1" applyFill="1" applyBorder="1" applyAlignment="1">
      <alignment horizontal="right" vertical="top"/>
    </xf>
    <xf numFmtId="3" fontId="5" fillId="15" borderId="119" xfId="0" applyNumberFormat="1" applyFont="1" applyFill="1" applyBorder="1" applyAlignment="1">
      <alignment horizontal="right" vertical="top"/>
    </xf>
    <xf numFmtId="3" fontId="5" fillId="15" borderId="120" xfId="0" applyNumberFormat="1" applyFont="1" applyFill="1" applyBorder="1" applyAlignment="1">
      <alignment horizontal="right" vertical="top"/>
    </xf>
    <xf numFmtId="3" fontId="5" fillId="15" borderId="77" xfId="0" applyNumberFormat="1" applyFont="1" applyFill="1" applyBorder="1" applyAlignment="1">
      <alignment horizontal="right" vertical="top"/>
    </xf>
    <xf numFmtId="3" fontId="5" fillId="15" borderId="90" xfId="0" applyNumberFormat="1" applyFont="1" applyFill="1" applyBorder="1" applyAlignment="1">
      <alignment horizontal="right" vertical="top"/>
    </xf>
    <xf numFmtId="3" fontId="5" fillId="15" borderId="91" xfId="0" applyNumberFormat="1" applyFont="1" applyFill="1" applyBorder="1" applyAlignment="1">
      <alignment horizontal="right" vertical="top"/>
    </xf>
    <xf numFmtId="3" fontId="5" fillId="14" borderId="91" xfId="0" applyNumberFormat="1" applyFont="1" applyFill="1" applyBorder="1" applyAlignment="1">
      <alignment horizontal="right" vertical="top"/>
    </xf>
    <xf numFmtId="3" fontId="5" fillId="14" borderId="77" xfId="0" applyNumberFormat="1" applyFont="1" applyFill="1" applyBorder="1" applyAlignment="1">
      <alignment horizontal="right" vertical="top"/>
    </xf>
    <xf numFmtId="3" fontId="5" fillId="15" borderId="89" xfId="0" applyNumberFormat="1" applyFont="1" applyFill="1" applyBorder="1" applyAlignment="1">
      <alignment horizontal="right" vertical="top"/>
    </xf>
    <xf numFmtId="0" fontId="5" fillId="7" borderId="0" xfId="0" applyFont="1" applyFill="1"/>
    <xf numFmtId="164" fontId="55" fillId="0" borderId="0" xfId="1" applyNumberFormat="1" applyFont="1" applyFill="1" applyBorder="1" applyAlignment="1" applyProtection="1">
      <alignment horizontal="center" vertical="center"/>
      <protection hidden="1"/>
    </xf>
    <xf numFmtId="164" fontId="71" fillId="0" borderId="0" xfId="1" applyNumberFormat="1" applyFont="1" applyFill="1" applyBorder="1" applyAlignment="1" applyProtection="1">
      <alignment horizontal="center" vertical="center"/>
      <protection hidden="1"/>
    </xf>
    <xf numFmtId="0" fontId="9" fillId="0" borderId="19" xfId="0" applyFont="1" applyBorder="1" applyAlignment="1" applyProtection="1">
      <alignment vertical="center"/>
      <protection hidden="1"/>
    </xf>
    <xf numFmtId="49" fontId="17" fillId="7" borderId="0" xfId="0" applyNumberFormat="1" applyFont="1" applyFill="1" applyAlignment="1" applyProtection="1">
      <alignment horizontal="left" vertical="center" indent="1"/>
      <protection locked="0"/>
    </xf>
    <xf numFmtId="14" fontId="17" fillId="7" borderId="82" xfId="0" applyNumberFormat="1" applyFont="1" applyFill="1" applyBorder="1" applyAlignment="1" applyProtection="1">
      <alignment horizontal="center" vertical="center"/>
      <protection locked="0"/>
    </xf>
    <xf numFmtId="14" fontId="17" fillId="7" borderId="81" xfId="0" applyNumberFormat="1" applyFont="1" applyFill="1" applyBorder="1" applyAlignment="1" applyProtection="1">
      <alignment horizontal="center" vertical="center"/>
      <protection locked="0"/>
    </xf>
    <xf numFmtId="1" fontId="17" fillId="7" borderId="0" xfId="0" applyNumberFormat="1" applyFont="1" applyFill="1" applyAlignment="1" applyProtection="1">
      <alignment horizontal="center" vertical="center"/>
      <protection locked="0"/>
    </xf>
    <xf numFmtId="0" fontId="17" fillId="7" borderId="0" xfId="0" applyFont="1" applyFill="1" applyAlignment="1" applyProtection="1">
      <alignment horizontal="center" vertical="center"/>
      <protection locked="0"/>
    </xf>
    <xf numFmtId="0" fontId="38" fillId="0" borderId="0" xfId="0" applyFont="1" applyAlignment="1" applyProtection="1">
      <alignment horizontal="center" vertical="center"/>
      <protection locked="0" hidden="1"/>
    </xf>
    <xf numFmtId="165" fontId="55" fillId="0" borderId="0" xfId="1" applyNumberFormat="1" applyFont="1" applyFill="1" applyBorder="1" applyAlignment="1" applyProtection="1">
      <alignment horizontal="center" vertical="center"/>
      <protection hidden="1"/>
    </xf>
    <xf numFmtId="165" fontId="71" fillId="0" borderId="0" xfId="1" applyNumberFormat="1" applyFont="1" applyFill="1" applyBorder="1" applyAlignment="1" applyProtection="1">
      <alignment horizontal="center" vertical="center"/>
      <protection hidden="1"/>
    </xf>
    <xf numFmtId="165" fontId="85" fillId="0" borderId="0" xfId="1" applyNumberFormat="1" applyFont="1" applyFill="1" applyBorder="1" applyAlignment="1" applyProtection="1">
      <alignment horizontal="center" vertical="center"/>
      <protection hidden="1"/>
    </xf>
    <xf numFmtId="165" fontId="85" fillId="0" borderId="0" xfId="1" applyNumberFormat="1" applyFont="1" applyFill="1" applyBorder="1" applyAlignment="1" applyProtection="1">
      <alignment horizontal="center"/>
      <protection hidden="1"/>
    </xf>
    <xf numFmtId="0" fontId="86" fillId="0" borderId="0" xfId="0" pivotButton="1" applyFont="1"/>
    <xf numFmtId="0" fontId="86" fillId="0" borderId="0" xfId="0" applyFont="1"/>
    <xf numFmtId="14" fontId="86" fillId="0" borderId="0" xfId="0" applyNumberFormat="1" applyFont="1"/>
    <xf numFmtId="0" fontId="86" fillId="0" borderId="0" xfId="0" applyFont="1" applyAlignment="1">
      <alignment horizontal="left"/>
    </xf>
    <xf numFmtId="3" fontId="86" fillId="0" borderId="0" xfId="0" applyNumberFormat="1" applyFont="1"/>
    <xf numFmtId="0" fontId="86" fillId="0" borderId="0" xfId="0" applyFont="1" applyAlignment="1">
      <alignment horizontal="left" indent="1"/>
    </xf>
    <xf numFmtId="0" fontId="86" fillId="0" borderId="0" xfId="0" applyFont="1" applyAlignment="1">
      <alignment horizontal="left" indent="2"/>
    </xf>
    <xf numFmtId="168" fontId="86" fillId="0" borderId="0" xfId="0" pivotButton="1" applyNumberFormat="1" applyFont="1" applyAlignment="1">
      <alignment horizontal="right"/>
    </xf>
    <xf numFmtId="3" fontId="10" fillId="8" borderId="121" xfId="0" applyNumberFormat="1" applyFont="1" applyFill="1" applyBorder="1" applyAlignment="1">
      <alignment horizontal="right" vertical="top" wrapText="1"/>
    </xf>
    <xf numFmtId="3" fontId="5" fillId="14" borderId="117" xfId="0" applyNumberFormat="1" applyFont="1" applyFill="1" applyBorder="1" applyAlignment="1">
      <alignment horizontal="right" vertical="top"/>
    </xf>
    <xf numFmtId="3" fontId="49" fillId="2" borderId="122" xfId="0" applyNumberFormat="1" applyFont="1" applyFill="1" applyBorder="1" applyAlignment="1">
      <alignment horizontal="right" vertical="top" wrapText="1"/>
    </xf>
    <xf numFmtId="3" fontId="49" fillId="2" borderId="122" xfId="0" applyNumberFormat="1" applyFont="1" applyFill="1" applyBorder="1" applyAlignment="1">
      <alignment horizontal="right" wrapText="1"/>
    </xf>
    <xf numFmtId="3" fontId="5" fillId="0" borderId="122" xfId="0" applyNumberFormat="1" applyFont="1" applyBorder="1" applyAlignment="1">
      <alignment horizontal="right" vertical="top" wrapText="1"/>
    </xf>
    <xf numFmtId="3" fontId="51" fillId="10" borderId="122" xfId="0" applyNumberFormat="1" applyFont="1" applyFill="1" applyBorder="1" applyAlignment="1">
      <alignment horizontal="right" vertical="top" wrapText="1"/>
    </xf>
    <xf numFmtId="3" fontId="5" fillId="7" borderId="123" xfId="0" applyNumberFormat="1" applyFont="1" applyFill="1" applyBorder="1" applyAlignment="1">
      <alignment horizontal="right" vertical="top" wrapText="1"/>
    </xf>
    <xf numFmtId="3" fontId="51" fillId="10" borderId="124" xfId="0" applyNumberFormat="1" applyFont="1" applyFill="1" applyBorder="1" applyAlignment="1">
      <alignment horizontal="right" vertical="top" wrapText="1"/>
    </xf>
    <xf numFmtId="3" fontId="10" fillId="0" borderId="122" xfId="0" applyNumberFormat="1" applyFont="1" applyBorder="1" applyAlignment="1">
      <alignment horizontal="right" vertical="top" wrapText="1"/>
    </xf>
    <xf numFmtId="3" fontId="10" fillId="2" borderId="125" xfId="0" applyNumberFormat="1" applyFont="1" applyFill="1" applyBorder="1" applyAlignment="1">
      <alignment horizontal="right" vertical="top" wrapText="1"/>
    </xf>
    <xf numFmtId="3" fontId="10" fillId="8" borderId="126" xfId="0" applyNumberFormat="1" applyFont="1" applyFill="1" applyBorder="1" applyAlignment="1">
      <alignment horizontal="right" vertical="top" wrapText="1"/>
    </xf>
    <xf numFmtId="3" fontId="10" fillId="2" borderId="122" xfId="0" applyNumberFormat="1" applyFont="1" applyFill="1" applyBorder="1" applyAlignment="1">
      <alignment horizontal="right" vertical="top" wrapText="1"/>
    </xf>
    <xf numFmtId="3" fontId="10" fillId="8" borderId="127" xfId="0" applyNumberFormat="1" applyFont="1" applyFill="1" applyBorder="1" applyAlignment="1">
      <alignment horizontal="right" vertical="top" wrapText="1"/>
    </xf>
    <xf numFmtId="3" fontId="10" fillId="0" borderId="122" xfId="0" applyNumberFormat="1" applyFont="1" applyBorder="1" applyAlignment="1">
      <alignment horizontal="right" vertical="top"/>
    </xf>
    <xf numFmtId="3" fontId="5" fillId="0" borderId="122" xfId="0" applyNumberFormat="1" applyFont="1" applyBorder="1" applyAlignment="1">
      <alignment horizontal="right" vertical="top"/>
    </xf>
    <xf numFmtId="3" fontId="50" fillId="2" borderId="82" xfId="0" applyNumberFormat="1" applyFont="1" applyFill="1" applyBorder="1" applyAlignment="1">
      <alignment horizontal="right" vertical="top"/>
    </xf>
    <xf numFmtId="3" fontId="50" fillId="2" borderId="82" xfId="0" applyNumberFormat="1" applyFont="1" applyFill="1" applyBorder="1" applyAlignment="1">
      <alignment horizontal="right" wrapText="1"/>
    </xf>
    <xf numFmtId="3" fontId="10" fillId="2" borderId="82" xfId="0" applyNumberFormat="1" applyFont="1" applyFill="1" applyBorder="1" applyAlignment="1">
      <alignment horizontal="right" vertical="top"/>
    </xf>
    <xf numFmtId="3" fontId="51" fillId="10" borderId="82" xfId="0" applyNumberFormat="1" applyFont="1" applyFill="1" applyBorder="1" applyAlignment="1">
      <alignment horizontal="right" vertical="top"/>
    </xf>
    <xf numFmtId="3" fontId="10" fillId="2" borderId="128" xfId="0" applyNumberFormat="1" applyFont="1" applyFill="1" applyBorder="1" applyAlignment="1">
      <alignment horizontal="right" vertical="top"/>
    </xf>
    <xf numFmtId="3" fontId="51" fillId="10" borderId="129" xfId="0" applyNumberFormat="1" applyFont="1" applyFill="1" applyBorder="1" applyAlignment="1">
      <alignment horizontal="right" vertical="top"/>
    </xf>
    <xf numFmtId="3" fontId="10" fillId="2" borderId="82" xfId="0" applyNumberFormat="1" applyFont="1" applyFill="1" applyBorder="1" applyAlignment="1">
      <alignment horizontal="right" vertical="top" wrapText="1"/>
    </xf>
    <xf numFmtId="3" fontId="10" fillId="2" borderId="130" xfId="0" applyNumberFormat="1" applyFont="1" applyFill="1" applyBorder="1" applyAlignment="1">
      <alignment horizontal="right" vertical="top"/>
    </xf>
    <xf numFmtId="3" fontId="5" fillId="15" borderId="131" xfId="0" applyNumberFormat="1" applyFont="1" applyFill="1" applyBorder="1" applyAlignment="1">
      <alignment horizontal="right" vertical="top"/>
    </xf>
    <xf numFmtId="3" fontId="10" fillId="8" borderId="132" xfId="0" applyNumberFormat="1" applyFont="1" applyFill="1" applyBorder="1" applyAlignment="1">
      <alignment horizontal="right" vertical="top"/>
    </xf>
    <xf numFmtId="3" fontId="10" fillId="8" borderId="133" xfId="0" applyNumberFormat="1" applyFont="1" applyFill="1" applyBorder="1" applyAlignment="1">
      <alignment horizontal="right" vertical="top"/>
    </xf>
    <xf numFmtId="3" fontId="10" fillId="0" borderId="82" xfId="0" applyNumberFormat="1" applyFont="1" applyBorder="1" applyAlignment="1">
      <alignment horizontal="right" vertical="top"/>
    </xf>
    <xf numFmtId="3" fontId="5" fillId="15" borderId="134" xfId="0" applyNumberFormat="1" applyFont="1" applyFill="1" applyBorder="1" applyAlignment="1">
      <alignment horizontal="right" vertical="top"/>
    </xf>
    <xf numFmtId="3" fontId="5" fillId="15" borderId="135" xfId="0" applyNumberFormat="1" applyFont="1" applyFill="1" applyBorder="1" applyAlignment="1">
      <alignment horizontal="right" vertical="top"/>
    </xf>
    <xf numFmtId="3" fontId="5" fillId="15" borderId="136" xfId="0" applyNumberFormat="1" applyFont="1" applyFill="1" applyBorder="1" applyAlignment="1">
      <alignment horizontal="right" vertical="top"/>
    </xf>
    <xf numFmtId="3" fontId="50" fillId="2" borderId="81" xfId="0" applyNumberFormat="1" applyFont="1" applyFill="1" applyBorder="1" applyAlignment="1">
      <alignment horizontal="right" vertical="top"/>
    </xf>
    <xf numFmtId="3" fontId="50" fillId="2" borderId="81" xfId="0" applyNumberFormat="1" applyFont="1" applyFill="1" applyBorder="1" applyAlignment="1">
      <alignment horizontal="right" wrapText="1"/>
    </xf>
    <xf numFmtId="3" fontId="5" fillId="2" borderId="81" xfId="0" applyNumberFormat="1" applyFont="1" applyFill="1" applyBorder="1" applyAlignment="1">
      <alignment horizontal="right" vertical="top"/>
    </xf>
    <xf numFmtId="3" fontId="51" fillId="10" borderId="81" xfId="0" applyNumberFormat="1" applyFont="1" applyFill="1" applyBorder="1" applyAlignment="1">
      <alignment horizontal="right" vertical="top"/>
    </xf>
    <xf numFmtId="3" fontId="5" fillId="7" borderId="137" xfId="0" applyNumberFormat="1" applyFont="1" applyFill="1" applyBorder="1" applyAlignment="1">
      <alignment horizontal="right" vertical="top" wrapText="1"/>
    </xf>
    <xf numFmtId="3" fontId="51" fillId="10" borderId="138" xfId="0" applyNumberFormat="1" applyFont="1" applyFill="1" applyBorder="1" applyAlignment="1">
      <alignment horizontal="right" vertical="top"/>
    </xf>
    <xf numFmtId="3" fontId="10" fillId="2" borderId="81" xfId="0" applyNumberFormat="1" applyFont="1" applyFill="1" applyBorder="1" applyAlignment="1">
      <alignment horizontal="right" vertical="top" wrapText="1"/>
    </xf>
    <xf numFmtId="3" fontId="10" fillId="2" borderId="139" xfId="0" applyNumberFormat="1" applyFont="1" applyFill="1" applyBorder="1" applyAlignment="1">
      <alignment horizontal="right" vertical="top"/>
    </xf>
    <xf numFmtId="3" fontId="5" fillId="7" borderId="137" xfId="0" applyNumberFormat="1" applyFont="1" applyFill="1" applyBorder="1" applyAlignment="1">
      <alignment horizontal="right" vertical="top"/>
    </xf>
    <xf numFmtId="3" fontId="5" fillId="15" borderId="81" xfId="0" applyNumberFormat="1" applyFont="1" applyFill="1" applyBorder="1" applyAlignment="1">
      <alignment horizontal="right" vertical="top"/>
    </xf>
    <xf numFmtId="3" fontId="10" fillId="8" borderId="140" xfId="0" applyNumberFormat="1" applyFont="1" applyFill="1" applyBorder="1" applyAlignment="1">
      <alignment horizontal="right" vertical="top"/>
    </xf>
    <xf numFmtId="3" fontId="5" fillId="0" borderId="81" xfId="0" applyNumberFormat="1" applyFont="1" applyBorder="1" applyAlignment="1">
      <alignment horizontal="right" vertical="top"/>
    </xf>
    <xf numFmtId="0" fontId="36" fillId="16" borderId="0" xfId="0" applyFont="1" applyFill="1" applyProtection="1">
      <protection locked="0"/>
    </xf>
    <xf numFmtId="3" fontId="36" fillId="16" borderId="0" xfId="0" applyNumberFormat="1" applyFont="1" applyFill="1" applyProtection="1">
      <protection locked="0"/>
    </xf>
    <xf numFmtId="3" fontId="36" fillId="16" borderId="0" xfId="0" applyNumberFormat="1" applyFont="1" applyFill="1" applyAlignment="1" applyProtection="1">
      <alignment horizontal="left"/>
      <protection locked="0"/>
    </xf>
    <xf numFmtId="4" fontId="36" fillId="16" borderId="0" xfId="0" applyNumberFormat="1" applyFont="1" applyFill="1" applyAlignment="1" applyProtection="1">
      <alignment horizontal="center"/>
      <protection locked="0"/>
    </xf>
    <xf numFmtId="164" fontId="36" fillId="16" borderId="0" xfId="0" applyNumberFormat="1" applyFont="1" applyFill="1" applyAlignment="1" applyProtection="1">
      <alignment horizontal="left"/>
      <protection locked="0"/>
    </xf>
    <xf numFmtId="0" fontId="32" fillId="7" borderId="120" xfId="0" applyFont="1" applyFill="1" applyBorder="1" applyAlignment="1" applyProtection="1">
      <alignment horizontal="center" vertical="center"/>
      <protection locked="0"/>
    </xf>
    <xf numFmtId="0" fontId="32" fillId="7" borderId="136" xfId="0" applyFont="1" applyFill="1" applyBorder="1" applyAlignment="1" applyProtection="1">
      <alignment horizontal="center" vertical="center"/>
      <protection locked="0"/>
    </xf>
    <xf numFmtId="0" fontId="9" fillId="0" borderId="120" xfId="0" applyFont="1" applyBorder="1" applyAlignment="1">
      <alignment vertical="center"/>
    </xf>
    <xf numFmtId="0" fontId="9" fillId="0" borderId="136" xfId="0" applyFont="1" applyBorder="1" applyAlignment="1">
      <alignment vertical="center"/>
    </xf>
    <xf numFmtId="0" fontId="9" fillId="0" borderId="117" xfId="0" applyFont="1" applyBorder="1" applyAlignment="1">
      <alignment vertical="center"/>
    </xf>
    <xf numFmtId="0" fontId="9" fillId="0" borderId="134" xfId="0" applyFont="1" applyBorder="1" applyAlignment="1">
      <alignment vertical="center"/>
    </xf>
    <xf numFmtId="0" fontId="64" fillId="0" borderId="90" xfId="0" applyFont="1" applyBorder="1" applyAlignment="1">
      <alignment horizontal="center" vertical="center"/>
    </xf>
    <xf numFmtId="0" fontId="64" fillId="0" borderId="89" xfId="0" applyFont="1" applyBorder="1" applyAlignment="1">
      <alignment horizontal="center" vertical="center"/>
    </xf>
    <xf numFmtId="0" fontId="65" fillId="0" borderId="90" xfId="0" applyFont="1" applyBorder="1" applyAlignment="1">
      <alignment horizontal="center" vertical="center"/>
    </xf>
    <xf numFmtId="0" fontId="65" fillId="0" borderId="89" xfId="0" applyFont="1" applyBorder="1" applyAlignment="1">
      <alignment horizontal="center" vertical="center"/>
    </xf>
    <xf numFmtId="0" fontId="9" fillId="0" borderId="118" xfId="0" applyFont="1" applyBorder="1" applyAlignment="1">
      <alignment vertical="center"/>
    </xf>
    <xf numFmtId="0" fontId="9" fillId="0" borderId="135" xfId="0" applyFont="1" applyBorder="1" applyAlignment="1">
      <alignment vertical="center"/>
    </xf>
    <xf numFmtId="0" fontId="9" fillId="0" borderId="90" xfId="0" applyFont="1" applyBorder="1" applyAlignment="1">
      <alignment vertical="center"/>
    </xf>
    <xf numFmtId="0" fontId="9" fillId="0" borderId="89" xfId="0" applyFont="1" applyBorder="1" applyAlignment="1">
      <alignment vertical="center"/>
    </xf>
    <xf numFmtId="0" fontId="32" fillId="0" borderId="90" xfId="0" applyFont="1" applyBorder="1" applyAlignment="1">
      <alignment horizontal="center" vertical="center"/>
    </xf>
    <xf numFmtId="0" fontId="32" fillId="0" borderId="89" xfId="0" applyFont="1" applyBorder="1" applyAlignment="1">
      <alignment horizontal="center" vertical="center"/>
    </xf>
    <xf numFmtId="0" fontId="32" fillId="0" borderId="117" xfId="0" applyFont="1" applyBorder="1" applyAlignment="1">
      <alignment horizontal="center" vertical="center"/>
    </xf>
    <xf numFmtId="0" fontId="32" fillId="0" borderId="134" xfId="0" applyFont="1" applyBorder="1" applyAlignment="1">
      <alignment horizontal="center" vertical="center"/>
    </xf>
    <xf numFmtId="0" fontId="32" fillId="7" borderId="117" xfId="0" applyFont="1" applyFill="1" applyBorder="1" applyAlignment="1" applyProtection="1">
      <alignment horizontal="center" vertical="center"/>
      <protection locked="0"/>
    </xf>
    <xf numFmtId="0" fontId="32" fillId="7" borderId="134" xfId="0" applyFont="1" applyFill="1" applyBorder="1" applyAlignment="1" applyProtection="1">
      <alignment horizontal="center" vertical="center"/>
      <protection locked="0"/>
    </xf>
    <xf numFmtId="0" fontId="65" fillId="7" borderId="118" xfId="0" applyFont="1" applyFill="1" applyBorder="1" applyAlignment="1" applyProtection="1">
      <alignment horizontal="center" vertical="center"/>
      <protection locked="0"/>
    </xf>
    <xf numFmtId="0" fontId="65" fillId="7" borderId="135" xfId="0" applyFont="1" applyFill="1" applyBorder="1" applyAlignment="1" applyProtection="1">
      <alignment horizontal="center" vertical="center"/>
      <protection locked="0"/>
    </xf>
    <xf numFmtId="0" fontId="65" fillId="7" borderId="117" xfId="0" applyFont="1" applyFill="1" applyBorder="1" applyAlignment="1" applyProtection="1">
      <alignment horizontal="center" vertical="center"/>
      <protection locked="0"/>
    </xf>
    <xf numFmtId="0" fontId="65" fillId="7" borderId="134" xfId="0" applyFont="1" applyFill="1" applyBorder="1" applyAlignment="1" applyProtection="1">
      <alignment horizontal="center" vertical="center"/>
      <protection locked="0"/>
    </xf>
    <xf numFmtId="0" fontId="65" fillId="7" borderId="120" xfId="0" applyFont="1" applyFill="1" applyBorder="1" applyAlignment="1" applyProtection="1">
      <alignment horizontal="center" vertical="center"/>
      <protection locked="0"/>
    </xf>
    <xf numFmtId="0" fontId="65" fillId="7" borderId="136" xfId="0" applyFont="1" applyFill="1" applyBorder="1" applyAlignment="1" applyProtection="1">
      <alignment horizontal="center" vertical="center"/>
      <protection locked="0"/>
    </xf>
    <xf numFmtId="0" fontId="32" fillId="7" borderId="118" xfId="0" applyFont="1" applyFill="1" applyBorder="1" applyAlignment="1" applyProtection="1">
      <alignment horizontal="center" vertical="center"/>
      <protection locked="0"/>
    </xf>
    <xf numFmtId="0" fontId="32" fillId="7" borderId="135" xfId="0" applyFont="1" applyFill="1" applyBorder="1" applyAlignment="1" applyProtection="1">
      <alignment horizontal="center" vertical="center"/>
      <protection locked="0"/>
    </xf>
    <xf numFmtId="0" fontId="64" fillId="7" borderId="117" xfId="0" applyFont="1" applyFill="1" applyBorder="1" applyAlignment="1" applyProtection="1">
      <alignment horizontal="center" vertical="center"/>
      <protection locked="0"/>
    </xf>
    <xf numFmtId="0" fontId="64" fillId="7" borderId="134" xfId="0" applyFont="1" applyFill="1" applyBorder="1" applyAlignment="1" applyProtection="1">
      <alignment horizontal="center" vertical="center"/>
      <protection locked="0"/>
    </xf>
    <xf numFmtId="0" fontId="64" fillId="7" borderId="120" xfId="0" applyFont="1" applyFill="1" applyBorder="1" applyAlignment="1" applyProtection="1">
      <alignment horizontal="center" vertical="center"/>
      <protection locked="0"/>
    </xf>
    <xf numFmtId="0" fontId="64" fillId="7" borderId="136" xfId="0" applyFont="1" applyFill="1" applyBorder="1" applyAlignment="1" applyProtection="1">
      <alignment horizontal="center" vertical="center"/>
      <protection locked="0"/>
    </xf>
    <xf numFmtId="0" fontId="64" fillId="7" borderId="118" xfId="0" applyFont="1" applyFill="1" applyBorder="1" applyAlignment="1" applyProtection="1">
      <alignment horizontal="center" vertical="center"/>
      <protection locked="0"/>
    </xf>
    <xf numFmtId="0" fontId="64" fillId="7" borderId="135" xfId="0" applyFont="1" applyFill="1" applyBorder="1" applyAlignment="1" applyProtection="1">
      <alignment horizontal="center" vertical="center"/>
      <protection locked="0"/>
    </xf>
    <xf numFmtId="0" fontId="32" fillId="7" borderId="90" xfId="0" applyFont="1" applyFill="1" applyBorder="1" applyAlignment="1" applyProtection="1">
      <alignment horizontal="center" vertical="center"/>
      <protection locked="0"/>
    </xf>
    <xf numFmtId="0" fontId="32" fillId="7" borderId="89" xfId="0" applyFont="1" applyFill="1" applyBorder="1" applyAlignment="1" applyProtection="1">
      <alignment horizontal="center" vertical="center"/>
      <protection locked="0"/>
    </xf>
    <xf numFmtId="0" fontId="9" fillId="7" borderId="117" xfId="0" applyFont="1" applyFill="1" applyBorder="1" applyAlignment="1" applyProtection="1">
      <alignment vertical="center"/>
      <protection locked="0"/>
    </xf>
    <xf numFmtId="0" fontId="9" fillId="7" borderId="134" xfId="0" applyFont="1" applyFill="1" applyBorder="1" applyAlignment="1" applyProtection="1">
      <alignment vertical="center"/>
      <protection locked="0"/>
    </xf>
    <xf numFmtId="0" fontId="64" fillId="7" borderId="118" xfId="0" applyFont="1" applyFill="1" applyBorder="1" applyAlignment="1" applyProtection="1">
      <alignment vertical="center"/>
      <protection locked="0"/>
    </xf>
    <xf numFmtId="0" fontId="64" fillId="7" borderId="135" xfId="0" applyFont="1" applyFill="1" applyBorder="1" applyAlignment="1" applyProtection="1">
      <alignment vertical="center"/>
      <protection locked="0"/>
    </xf>
    <xf numFmtId="0" fontId="35" fillId="0" borderId="93" xfId="0" applyFont="1" applyBorder="1" applyAlignment="1">
      <alignment horizontal="center" vertical="center"/>
    </xf>
    <xf numFmtId="0" fontId="35" fillId="0" borderId="119" xfId="0" applyFont="1" applyBorder="1" applyAlignment="1">
      <alignment horizontal="center" vertical="center"/>
    </xf>
    <xf numFmtId="0" fontId="35" fillId="0" borderId="91" xfId="0" applyFont="1" applyBorder="1" applyAlignment="1">
      <alignment horizontal="center" vertical="center"/>
    </xf>
    <xf numFmtId="3" fontId="30" fillId="11" borderId="77" xfId="0" applyNumberFormat="1" applyFont="1" applyFill="1" applyBorder="1" applyAlignment="1" applyProtection="1">
      <alignment horizontal="center" vertical="center"/>
      <protection hidden="1"/>
    </xf>
    <xf numFmtId="0" fontId="9" fillId="0" borderId="77" xfId="0" applyFont="1" applyBorder="1" applyAlignment="1">
      <alignment vertical="center"/>
    </xf>
    <xf numFmtId="0" fontId="9" fillId="0" borderId="77" xfId="0" applyFont="1" applyBorder="1"/>
    <xf numFmtId="0" fontId="9" fillId="0" borderId="0" xfId="0" applyFont="1" applyAlignment="1">
      <alignment vertical="top" wrapText="1"/>
    </xf>
    <xf numFmtId="0" fontId="9" fillId="0" borderId="0" xfId="0" applyFont="1" applyAlignment="1">
      <alignment horizontal="left" vertical="top" wrapText="1" indent="1"/>
    </xf>
    <xf numFmtId="0" fontId="14" fillId="0" borderId="0" xfId="0" applyFont="1" applyAlignment="1">
      <alignment horizontal="center" textRotation="90"/>
    </xf>
    <xf numFmtId="0" fontId="5" fillId="0" borderId="0" xfId="0" applyFont="1" applyAlignment="1">
      <alignment horizontal="center" textRotation="90"/>
    </xf>
    <xf numFmtId="0" fontId="17" fillId="7" borderId="0" xfId="0" applyFont="1" applyFill="1" applyAlignment="1" applyProtection="1">
      <alignment horizontal="left" vertical="center" indent="1"/>
      <protection locked="0"/>
    </xf>
    <xf numFmtId="0" fontId="47" fillId="0" borderId="12" xfId="0" applyFont="1" applyBorder="1" applyAlignment="1">
      <alignment horizontal="center" textRotation="90"/>
    </xf>
    <xf numFmtId="0" fontId="15" fillId="6" borderId="20" xfId="1" applyFont="1" applyFill="1" applyBorder="1" applyAlignment="1" applyProtection="1">
      <alignment horizontal="center"/>
      <protection hidden="1"/>
    </xf>
    <xf numFmtId="0" fontId="3" fillId="6" borderId="19" xfId="0" applyFont="1" applyFill="1" applyBorder="1" applyAlignment="1" applyProtection="1">
      <alignment horizontal="center"/>
      <protection hidden="1"/>
    </xf>
    <xf numFmtId="0" fontId="24" fillId="6" borderId="28" xfId="0" applyFont="1" applyFill="1" applyBorder="1" applyAlignment="1" applyProtection="1">
      <alignment horizontal="center" vertical="center"/>
      <protection hidden="1"/>
    </xf>
    <xf numFmtId="0" fontId="24" fillId="6" borderId="14" xfId="0" applyFont="1" applyFill="1" applyBorder="1" applyAlignment="1" applyProtection="1">
      <alignment horizontal="center" vertical="center"/>
      <protection hidden="1"/>
    </xf>
    <xf numFmtId="0" fontId="15" fillId="6" borderId="32" xfId="1" applyFont="1" applyFill="1" applyBorder="1" applyAlignment="1" applyProtection="1">
      <alignment horizontal="center" vertical="center"/>
      <protection hidden="1"/>
    </xf>
    <xf numFmtId="0" fontId="15" fillId="6" borderId="30" xfId="1" applyFont="1" applyFill="1" applyBorder="1" applyAlignment="1" applyProtection="1">
      <alignment horizontal="center" vertical="center"/>
      <protection hidden="1"/>
    </xf>
    <xf numFmtId="0" fontId="15" fillId="6" borderId="31" xfId="1" applyFont="1" applyFill="1" applyBorder="1" applyAlignment="1" applyProtection="1">
      <alignment horizontal="center" vertical="center"/>
      <protection hidden="1"/>
    </xf>
    <xf numFmtId="0" fontId="24" fillId="6" borderId="12" xfId="0" applyFont="1" applyFill="1" applyBorder="1" applyAlignment="1" applyProtection="1">
      <alignment horizontal="center" vertical="center"/>
      <protection hidden="1"/>
    </xf>
    <xf numFmtId="0" fontId="24" fillId="6" borderId="0" xfId="0" applyFont="1" applyFill="1" applyAlignment="1" applyProtection="1">
      <alignment horizontal="center" vertical="center"/>
      <protection hidden="1"/>
    </xf>
    <xf numFmtId="0" fontId="15" fillId="6" borderId="1" xfId="1" applyFont="1" applyFill="1" applyBorder="1" applyAlignment="1" applyProtection="1">
      <alignment horizontal="center" vertical="center"/>
      <protection hidden="1"/>
    </xf>
    <xf numFmtId="0" fontId="15" fillId="6" borderId="45" xfId="1" applyFont="1" applyFill="1" applyBorder="1" applyAlignment="1" applyProtection="1">
      <alignment horizontal="center" vertical="center"/>
      <protection hidden="1"/>
    </xf>
    <xf numFmtId="0" fontId="15" fillId="6" borderId="2" xfId="1" applyFont="1" applyFill="1" applyBorder="1" applyAlignment="1" applyProtection="1">
      <alignment horizontal="center" vertical="center"/>
      <protection hidden="1"/>
    </xf>
    <xf numFmtId="0" fontId="15" fillId="6" borderId="47" xfId="1" applyFont="1" applyFill="1" applyBorder="1" applyAlignment="1" applyProtection="1">
      <alignment horizontal="center" vertical="center"/>
      <protection hidden="1"/>
    </xf>
    <xf numFmtId="0" fontId="47" fillId="0" borderId="12" xfId="0" applyFont="1" applyBorder="1" applyAlignment="1">
      <alignment horizontal="center" vertical="top" textRotation="90"/>
    </xf>
    <xf numFmtId="0" fontId="21" fillId="6" borderId="19" xfId="0" applyFont="1" applyFill="1" applyBorder="1" applyAlignment="1" applyProtection="1">
      <alignment horizontal="center"/>
      <protection hidden="1"/>
    </xf>
    <xf numFmtId="0" fontId="21" fillId="6" borderId="26" xfId="0" applyFont="1" applyFill="1" applyBorder="1" applyAlignment="1" applyProtection="1">
      <alignment horizontal="center"/>
      <protection hidden="1"/>
    </xf>
    <xf numFmtId="0" fontId="15" fillId="6" borderId="28" xfId="0" applyFont="1" applyFill="1" applyBorder="1" applyAlignment="1" applyProtection="1">
      <alignment horizontal="center" vertical="center"/>
      <protection hidden="1"/>
    </xf>
    <xf numFmtId="0" fontId="15" fillId="6" borderId="14" xfId="0" applyFont="1" applyFill="1" applyBorder="1" applyAlignment="1" applyProtection="1">
      <alignment horizontal="center" vertical="center"/>
      <protection hidden="1"/>
    </xf>
    <xf numFmtId="0" fontId="15" fillId="6" borderId="7" xfId="0" applyFont="1" applyFill="1" applyBorder="1" applyAlignment="1" applyProtection="1">
      <alignment horizontal="center" vertical="center"/>
      <protection hidden="1"/>
    </xf>
    <xf numFmtId="0" fontId="15" fillId="6" borderId="59" xfId="1" applyFont="1" applyFill="1" applyBorder="1" applyAlignment="1" applyProtection="1">
      <alignment horizontal="center" vertical="center"/>
      <protection hidden="1"/>
    </xf>
    <xf numFmtId="0" fontId="3" fillId="6" borderId="26" xfId="0" applyFont="1" applyFill="1" applyBorder="1" applyAlignment="1" applyProtection="1">
      <alignment horizontal="center"/>
      <protection hidden="1"/>
    </xf>
    <xf numFmtId="0" fontId="24" fillId="6" borderId="3" xfId="0" applyFont="1" applyFill="1" applyBorder="1" applyAlignment="1" applyProtection="1">
      <alignment horizontal="center" vertical="center"/>
      <protection hidden="1"/>
    </xf>
    <xf numFmtId="0" fontId="47" fillId="0" borderId="12" xfId="0" applyFont="1" applyBorder="1" applyAlignment="1" applyProtection="1">
      <alignment horizontal="center" textRotation="90"/>
      <protection hidden="1"/>
    </xf>
    <xf numFmtId="3" fontId="27" fillId="0" borderId="68" xfId="1" applyNumberFormat="1" applyFont="1" applyFill="1" applyBorder="1" applyAlignment="1" applyProtection="1">
      <protection locked="0" hidden="1"/>
    </xf>
    <xf numFmtId="3" fontId="27" fillId="0" borderId="70" xfId="1" applyNumberFormat="1" applyFont="1" applyFill="1" applyBorder="1" applyAlignment="1" applyProtection="1">
      <protection locked="0" hidden="1"/>
    </xf>
  </cellXfs>
  <cellStyles count="10">
    <cellStyle name="Nadpis 1 2" xfId="2" xr:uid="{00000000-0005-0000-0000-000000000000}"/>
    <cellStyle name="Nadpis 2 2" xfId="3" xr:uid="{00000000-0005-0000-0000-000002000000}"/>
    <cellStyle name="normal" xfId="1" xr:uid="{00000000-0005-0000-0000-000003000000}"/>
    <cellStyle name="Normální" xfId="0" builtinId="0" customBuiltin="1"/>
    <cellStyle name="Normální 2" xfId="9" xr:uid="{00000000-0005-0000-0000-000005000000}"/>
    <cellStyle name="odkaz" xfId="4" xr:uid="{00000000-0005-0000-0000-000006000000}"/>
    <cellStyle name="Procenta 2" xfId="5" xr:uid="{00000000-0005-0000-0000-000008000000}"/>
    <cellStyle name="Procenta 3" xfId="6" xr:uid="{00000000-0005-0000-0000-000009000000}"/>
    <cellStyle name="Vstup 2" xfId="7" xr:uid="{00000000-0005-0000-0000-00000A000000}"/>
    <cellStyle name="Vysvětlující text 2" xfId="8" xr:uid="{00000000-0005-0000-0000-00000B000000}"/>
  </cellStyles>
  <dxfs count="308">
    <dxf>
      <numFmt numFmtId="165" formatCode="00"/>
    </dxf>
    <dxf>
      <numFmt numFmtId="164" formatCode="000"/>
    </dxf>
    <dxf>
      <numFmt numFmtId="164" formatCode="000"/>
    </dxf>
    <dxf>
      <numFmt numFmtId="165" formatCode="00"/>
    </dxf>
    <dxf>
      <numFmt numFmtId="164" formatCode="000"/>
    </dxf>
    <dxf>
      <numFmt numFmtId="165" formatCode="00"/>
    </dxf>
    <dxf>
      <numFmt numFmtId="164" formatCode="000"/>
    </dxf>
    <dxf>
      <numFmt numFmtId="165" formatCode="00"/>
    </dxf>
    <dxf>
      <numFmt numFmtId="165" formatCode="00"/>
    </dxf>
    <dxf>
      <numFmt numFmtId="164" formatCode="000"/>
    </dxf>
    <dxf>
      <numFmt numFmtId="165" formatCode="00"/>
    </dxf>
    <dxf>
      <numFmt numFmtId="164" formatCode="000"/>
    </dxf>
    <dxf>
      <numFmt numFmtId="164" formatCode="000"/>
    </dxf>
    <dxf>
      <numFmt numFmtId="165" formatCode="00"/>
    </dxf>
    <dxf>
      <numFmt numFmtId="164" formatCode="000"/>
    </dxf>
    <dxf>
      <numFmt numFmtId="165" formatCode="00"/>
    </dxf>
    <dxf>
      <numFmt numFmtId="165" formatCode="00"/>
    </dxf>
    <dxf>
      <numFmt numFmtId="164" formatCode="000"/>
    </dxf>
    <dxf>
      <numFmt numFmtId="165" formatCode="00"/>
    </dxf>
    <dxf>
      <numFmt numFmtId="164" formatCode="000"/>
    </dxf>
    <dxf>
      <numFmt numFmtId="165" formatCode="00"/>
    </dxf>
    <dxf>
      <numFmt numFmtId="164" formatCode="000"/>
    </dxf>
    <dxf>
      <numFmt numFmtId="164" formatCode="000"/>
    </dxf>
    <dxf>
      <numFmt numFmtId="165" formatCode="00"/>
    </dxf>
    <dxf>
      <numFmt numFmtId="164" formatCode="000"/>
    </dxf>
    <dxf>
      <numFmt numFmtId="165" formatCode="00"/>
    </dxf>
    <dxf>
      <numFmt numFmtId="165" formatCode="00"/>
    </dxf>
    <dxf>
      <numFmt numFmtId="164" formatCode="000"/>
    </dxf>
    <dxf>
      <numFmt numFmtId="165" formatCode="00"/>
    </dxf>
    <dxf>
      <numFmt numFmtId="164" formatCode="000"/>
    </dxf>
    <dxf>
      <numFmt numFmtId="164" formatCode="000"/>
    </dxf>
    <dxf>
      <numFmt numFmtId="165" formatCode="00"/>
    </dxf>
    <dxf>
      <numFmt numFmtId="165" formatCode="00"/>
    </dxf>
    <dxf>
      <numFmt numFmtId="164" formatCode="000"/>
    </dxf>
    <dxf>
      <numFmt numFmtId="164" formatCode="000"/>
    </dxf>
    <dxf>
      <numFmt numFmtId="165" formatCode="00"/>
    </dxf>
    <dxf>
      <numFmt numFmtId="165" formatCode="00"/>
    </dxf>
    <dxf>
      <numFmt numFmtId="164" formatCode="000"/>
    </dxf>
    <dxf>
      <numFmt numFmtId="165" formatCode="00"/>
    </dxf>
    <dxf>
      <numFmt numFmtId="164" formatCode="000"/>
    </dxf>
    <dxf>
      <numFmt numFmtId="165" formatCode="00"/>
    </dxf>
    <dxf>
      <numFmt numFmtId="164" formatCode="000"/>
    </dxf>
    <dxf>
      <numFmt numFmtId="165" formatCode="00"/>
    </dxf>
    <dxf>
      <numFmt numFmtId="164" formatCode="000"/>
    </dxf>
    <dxf>
      <numFmt numFmtId="165" formatCode="00"/>
    </dxf>
    <dxf>
      <numFmt numFmtId="164" formatCode="000"/>
    </dxf>
    <dxf>
      <numFmt numFmtId="164" formatCode="000"/>
    </dxf>
    <dxf>
      <numFmt numFmtId="165" formatCode="00"/>
    </dxf>
    <dxf>
      <numFmt numFmtId="165" formatCode="00"/>
    </dxf>
    <dxf>
      <numFmt numFmtId="164" formatCode="000"/>
    </dxf>
    <dxf>
      <numFmt numFmtId="164" formatCode="000"/>
    </dxf>
    <dxf>
      <numFmt numFmtId="165" formatCode="00"/>
    </dxf>
    <dxf>
      <numFmt numFmtId="164" formatCode="000"/>
    </dxf>
    <dxf>
      <numFmt numFmtId="165" formatCode="00"/>
    </dxf>
    <dxf>
      <numFmt numFmtId="164" formatCode="000"/>
    </dxf>
    <dxf>
      <numFmt numFmtId="165" formatCode="00"/>
    </dxf>
    <dxf>
      <numFmt numFmtId="164" formatCode="000"/>
    </dxf>
    <dxf>
      <numFmt numFmtId="165" formatCode="00"/>
    </dxf>
    <dxf>
      <numFmt numFmtId="164" formatCode="000"/>
    </dxf>
    <dxf>
      <numFmt numFmtId="165" formatCode="00"/>
    </dxf>
    <dxf>
      <numFmt numFmtId="164" formatCode="000"/>
    </dxf>
    <dxf>
      <numFmt numFmtId="165" formatCode="00"/>
    </dxf>
    <dxf>
      <numFmt numFmtId="165" formatCode="00"/>
    </dxf>
    <dxf>
      <numFmt numFmtId="164" formatCode="000"/>
    </dxf>
    <dxf>
      <numFmt numFmtId="164" formatCode="000"/>
    </dxf>
    <dxf>
      <numFmt numFmtId="165" formatCode="00"/>
    </dxf>
    <dxf>
      <numFmt numFmtId="165" formatCode="00"/>
    </dxf>
    <dxf>
      <numFmt numFmtId="164" formatCode="000"/>
    </dxf>
    <dxf>
      <numFmt numFmtId="164" formatCode="000"/>
    </dxf>
    <dxf>
      <numFmt numFmtId="165" formatCode="00"/>
    </dxf>
    <dxf>
      <numFmt numFmtId="164" formatCode="000"/>
    </dxf>
    <dxf>
      <numFmt numFmtId="165" formatCode="00"/>
    </dxf>
    <dxf>
      <numFmt numFmtId="165" formatCode="00"/>
    </dxf>
    <dxf>
      <numFmt numFmtId="164" formatCode="000"/>
    </dxf>
    <dxf>
      <numFmt numFmtId="165" formatCode="00"/>
    </dxf>
    <dxf>
      <numFmt numFmtId="164" formatCode="000"/>
    </dxf>
    <dxf>
      <numFmt numFmtId="165" formatCode="00"/>
    </dxf>
    <dxf>
      <numFmt numFmtId="164" formatCode="000"/>
    </dxf>
    <dxf>
      <numFmt numFmtId="165" formatCode="00"/>
    </dxf>
    <dxf>
      <numFmt numFmtId="164" formatCode="000"/>
    </dxf>
    <dxf>
      <numFmt numFmtId="165" formatCode="00"/>
    </dxf>
    <dxf>
      <numFmt numFmtId="164" formatCode="000"/>
    </dxf>
    <dxf>
      <numFmt numFmtId="165" formatCode="00"/>
    </dxf>
    <dxf>
      <numFmt numFmtId="164" formatCode="000"/>
    </dxf>
    <dxf>
      <numFmt numFmtId="165" formatCode="00"/>
    </dxf>
    <dxf>
      <numFmt numFmtId="164" formatCode="000"/>
    </dxf>
    <dxf>
      <numFmt numFmtId="164" formatCode="000"/>
    </dxf>
    <dxf>
      <numFmt numFmtId="165" formatCode="00"/>
    </dxf>
    <dxf>
      <numFmt numFmtId="165" formatCode="00"/>
    </dxf>
    <dxf>
      <numFmt numFmtId="164" formatCode="000"/>
    </dxf>
    <dxf>
      <numFmt numFmtId="165" formatCode="00"/>
    </dxf>
    <dxf>
      <numFmt numFmtId="164" formatCode="000"/>
    </dxf>
    <dxf>
      <numFmt numFmtId="164" formatCode="000"/>
    </dxf>
    <dxf>
      <numFmt numFmtId="165" formatCode="00"/>
    </dxf>
    <dxf>
      <numFmt numFmtId="165" formatCode="00"/>
    </dxf>
    <dxf>
      <numFmt numFmtId="164" formatCode="000"/>
    </dxf>
    <dxf>
      <numFmt numFmtId="164" formatCode="000"/>
    </dxf>
    <dxf>
      <numFmt numFmtId="165" formatCode="00"/>
    </dxf>
    <dxf>
      <numFmt numFmtId="164" formatCode="000"/>
    </dxf>
    <dxf>
      <numFmt numFmtId="165" formatCode="00"/>
    </dxf>
    <dxf>
      <fill>
        <patternFill>
          <bgColor theme="8" tint="0.79998168889431442"/>
        </patternFill>
      </fill>
      <border>
        <vertical/>
        <horizontal/>
      </border>
    </dxf>
    <dxf>
      <font>
        <color rgb="FFC00000"/>
      </font>
      <fill>
        <patternFill>
          <bgColor theme="5" tint="0.7999816888943144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color rgb="FFC00000"/>
      </font>
      <fill>
        <patternFill>
          <bgColor theme="5" tint="0.7999816888943144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color rgb="FFC00000"/>
      </font>
      <fill>
        <patternFill>
          <bgColor theme="5" tint="0.7999816888943144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color rgb="FFC00000"/>
      </font>
      <fill>
        <patternFill>
          <bgColor theme="5" tint="0.7999816888943144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color rgb="FFC00000"/>
      </font>
      <fill>
        <patternFill>
          <bgColor theme="5" tint="0.7999816888943144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color rgb="FFC00000"/>
      </font>
      <fill>
        <patternFill>
          <bgColor theme="5" tint="0.7999816888943144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color rgb="FFC00000"/>
      </font>
      <fill>
        <patternFill>
          <bgColor theme="5" tint="0.7999816888943144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color rgb="FFC00000"/>
      </font>
      <fill>
        <patternFill>
          <bgColor theme="5" tint="0.7999816888943144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color rgb="FFC00000"/>
      </font>
      <fill>
        <patternFill>
          <bgColor theme="5" tint="0.7999816888943144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color rgb="FFC00000"/>
      </font>
      <fill>
        <patternFill>
          <bgColor theme="5" tint="0.7999816888943144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color rgb="FFC00000"/>
      </font>
      <fill>
        <patternFill>
          <bgColor theme="5" tint="0.7999816888943144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color rgb="FFC00000"/>
      </font>
      <fill>
        <patternFill>
          <bgColor theme="5" tint="0.7999816888943144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color rgb="FFC00000"/>
      </font>
      <fill>
        <patternFill>
          <bgColor theme="5" tint="0.7999816888943144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color theme="0"/>
      </font>
      <fill>
        <patternFill>
          <bgColor theme="6"/>
        </patternFill>
      </fill>
    </dxf>
    <dxf>
      <font>
        <color rgb="FFC00000"/>
      </font>
      <fill>
        <patternFill>
          <bgColor theme="5" tint="0.7999816888943144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color theme="0"/>
      </font>
      <fill>
        <patternFill>
          <bgColor theme="6"/>
        </patternFill>
      </fill>
    </dxf>
    <dxf>
      <font>
        <color rgb="FFC00000"/>
      </font>
      <fill>
        <patternFill>
          <bgColor theme="5" tint="0.7999816888943144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color rgb="FFC00000"/>
      </font>
      <fill>
        <patternFill>
          <bgColor theme="5" tint="0.7999816888943144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color rgb="FFC00000"/>
      </font>
      <fill>
        <patternFill>
          <bgColor theme="5" tint="0.7999816888943144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color rgb="FFC00000"/>
      </font>
      <fill>
        <patternFill>
          <bgColor theme="5" tint="0.7999816888943144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color rgb="FFC00000"/>
      </font>
      <fill>
        <patternFill>
          <bgColor theme="5" tint="0.7999816888943144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color rgb="FFC00000"/>
      </font>
      <fill>
        <patternFill>
          <bgColor theme="5" tint="0.7999816888943144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color rgb="FFC00000"/>
      </font>
      <fill>
        <patternFill>
          <bgColor theme="5" tint="0.7999816888943144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color rgb="FFC00000"/>
      </font>
      <fill>
        <patternFill>
          <bgColor theme="5" tint="0.7999816888943144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color rgb="FFC00000"/>
      </font>
      <fill>
        <patternFill>
          <bgColor theme="5" tint="0.7999816888943144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color rgb="FFC00000"/>
      </font>
      <fill>
        <patternFill>
          <bgColor theme="5" tint="0.7999816888943144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color rgb="FFC00000"/>
      </font>
      <fill>
        <patternFill>
          <bgColor theme="5" tint="0.7999816888943144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color rgb="FFC00000"/>
      </font>
      <fill>
        <patternFill>
          <bgColor theme="5" tint="0.7999816888943144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color rgb="FFC00000"/>
      </font>
      <fill>
        <patternFill>
          <bgColor theme="5" tint="0.7999816888943144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color rgb="FFC00000"/>
      </font>
      <fill>
        <patternFill>
          <bgColor theme="5" tint="0.79998168889431442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color theme="0"/>
      </font>
      <fill>
        <patternFill>
          <bgColor theme="6"/>
        </patternFill>
      </fill>
    </dxf>
    <dxf>
      <font>
        <color rgb="FF0000FF"/>
      </font>
      <fill>
        <patternFill>
          <bgColor theme="8" tint="0.79998168889431442"/>
        </patternFill>
      </fill>
      <border>
        <vertical/>
        <horizontal/>
      </border>
    </dxf>
    <dxf>
      <font>
        <color rgb="FF0000FF"/>
      </font>
      <fill>
        <patternFill patternType="lightUp">
          <fgColor rgb="FF0000FF"/>
          <bgColor theme="4" tint="0.79995117038483843"/>
        </patternFill>
      </fill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/>
        <horizontal/>
      </border>
    </dxf>
    <dxf>
      <font>
        <color rgb="FFC00000"/>
      </font>
      <fill>
        <patternFill patternType="lightUp">
          <fgColor rgb="FFC00000"/>
          <bgColor theme="5" tint="0.79995117038483843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ont>
        <color rgb="FF0000FF"/>
      </font>
      <fill>
        <patternFill>
          <bgColor theme="8" tint="0.79998168889431442"/>
        </patternFill>
      </fill>
      <border>
        <vertical/>
        <horizontal/>
      </border>
    </dxf>
    <dxf>
      <font>
        <color rgb="FF0000FF"/>
      </font>
      <fill>
        <patternFill patternType="lightUp">
          <fgColor rgb="FF0000FF"/>
          <bgColor theme="4" tint="0.79995117038483843"/>
        </patternFill>
      </fill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/>
        <horizontal/>
      </border>
    </dxf>
    <dxf>
      <font>
        <color rgb="FFC00000"/>
      </font>
      <fill>
        <patternFill patternType="lightUp">
          <fgColor rgb="FFC00000"/>
          <bgColor theme="5" tint="0.79995117038483843"/>
        </patternFill>
      </fill>
      <border>
        <left style="thin">
          <color rgb="FFC00000"/>
        </left>
        <right style="thin">
          <color rgb="FFC00000"/>
        </right>
        <top style="thin">
          <color rgb="FFC00000"/>
        </top>
        <bottom style="thin">
          <color rgb="FFC00000"/>
        </bottom>
        <vertical/>
        <horizontal/>
      </border>
    </dxf>
    <dxf>
      <fill>
        <patternFill>
          <bgColor theme="6"/>
        </patternFill>
      </fill>
    </dxf>
    <dxf>
      <fill>
        <patternFill>
          <bgColor rgb="FFC00000"/>
        </patternFill>
      </fill>
    </dxf>
    <dxf>
      <fill>
        <patternFill patternType="lightUp">
          <fgColor rgb="FF0000FF"/>
          <bgColor theme="4" tint="0.79998168889431442"/>
        </patternFill>
      </fill>
    </dxf>
    <dxf>
      <fill>
        <patternFill patternType="lightUp">
          <fgColor rgb="FFC00000"/>
          <bgColor theme="5" tint="0.79998168889431442"/>
        </patternFill>
      </fill>
    </dxf>
    <dxf>
      <font>
        <color theme="6" tint="-0.24994659260841701"/>
      </font>
    </dxf>
    <dxf>
      <font>
        <color rgb="FFC00000"/>
      </font>
      <fill>
        <patternFill>
          <bgColor theme="5" tint="0.79998168889431442"/>
        </patternFill>
      </fill>
    </dxf>
    <dxf>
      <font>
        <color rgb="FFC00000"/>
      </font>
      <fill>
        <patternFill>
          <bgColor theme="5" tint="0.79998168889431442"/>
        </patternFill>
      </fill>
    </dxf>
    <dxf>
      <font>
        <color theme="6" tint="-0.24994659260841701"/>
      </font>
      <border>
        <vertical/>
        <horizontal/>
      </border>
    </dxf>
    <dxf>
      <fill>
        <patternFill>
          <bgColor theme="8" tint="0.79998168889431442"/>
        </patternFill>
      </fill>
      <border>
        <left style="thin">
          <color theme="8" tint="-0.24994659260841701"/>
        </left>
        <right style="thin">
          <color theme="8" tint="-0.24994659260841701"/>
        </right>
        <top style="thin">
          <color theme="8" tint="-0.24994659260841701"/>
        </top>
        <bottom style="thin">
          <color theme="8" tint="-0.2499465926084170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alignment vertical="top" textRotation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FF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vertical="top" textRotation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FF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vertical="top" textRotation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FF"/>
        <name val="Calibri"/>
        <scheme val="minor"/>
      </font>
      <fill>
        <patternFill patternType="none">
          <fgColor indexed="64"/>
          <bgColor indexed="65"/>
        </patternFill>
      </fill>
      <alignment vertical="top" textRotation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FF"/>
        <name val="Calibri"/>
        <scheme val="minor"/>
      </font>
      <fill>
        <patternFill patternType="none">
          <fgColor indexed="64"/>
          <bgColor indexed="65"/>
        </patternFill>
      </fill>
      <alignment vertical="top" textRotation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FF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FF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FF"/>
        <name val="Calibri"/>
        <scheme val="minor"/>
      </font>
      <fill>
        <patternFill patternType="none">
          <fgColor indexed="64"/>
          <bgColor indexed="65"/>
        </patternFill>
      </fill>
      <alignment vertical="top" textRotation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FF"/>
        <name val="Calibri"/>
        <scheme val="minor"/>
      </font>
      <fill>
        <patternFill patternType="none">
          <fgColor indexed="64"/>
          <bgColor indexed="65"/>
        </patternFill>
      </fill>
      <alignment vertical="top" textRotation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FF"/>
        <name val="Calibri"/>
        <scheme val="minor"/>
      </font>
      <fill>
        <patternFill patternType="none">
          <fgColor indexed="64"/>
          <bgColor indexed="65"/>
        </patternFill>
      </fill>
      <alignment vertical="top" textRotation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FF"/>
        <name val="Calibri"/>
        <scheme val="minor"/>
      </font>
      <numFmt numFmtId="164" formatCode="000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</dxf>
    <dxf>
      <alignment vertical="top" textRotation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alignment vertical="top" textRotation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FF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FF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FF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FF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FF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FF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FF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FF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FF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FF"/>
        <name val="Calibri"/>
        <scheme val="minor"/>
      </font>
      <numFmt numFmtId="165" formatCode="00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</dxf>
    <dxf>
      <alignment vertical="top" textRotation="0" wrapTex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FF"/>
        <name val="Calibri"/>
        <scheme val="minor"/>
      </font>
      <alignment vertical="top" textRotation="0" wrapTex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FF"/>
        <name val="Calibri"/>
        <scheme val="minor"/>
      </font>
      <alignment vertical="top" textRotation="0" wrapTex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alignment vertical="top" textRotation="0" wrapTex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FF"/>
        <name val="Calibri"/>
        <scheme val="minor"/>
      </font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FF"/>
        <name val="Calibri"/>
        <scheme val="minor"/>
      </font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FF"/>
        <name val="Calibri"/>
        <scheme val="minor"/>
      </font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FF"/>
        <name val="Calibri"/>
        <scheme val="minor"/>
      </font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FF"/>
        <name val="Calibri"/>
        <scheme val="minor"/>
      </font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FF"/>
        <name val="Calibri"/>
        <scheme val="minor"/>
      </font>
      <numFmt numFmtId="164" formatCode="000"/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alignment vertical="top" textRotation="0" wrapTex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FF"/>
        <name val="Calibri"/>
        <scheme val="minor"/>
      </font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FF"/>
        <name val="Calibri"/>
        <scheme val="minor"/>
      </font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FF"/>
        <name val="Calibri"/>
        <scheme val="minor"/>
      </font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FF"/>
        <name val="Calibri"/>
        <scheme val="minor"/>
      </font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FF"/>
        <name val="Calibri"/>
        <scheme val="minor"/>
      </font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FF"/>
        <name val="Calibri"/>
        <scheme val="minor"/>
      </font>
      <numFmt numFmtId="164" formatCode="000"/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FF"/>
        <name val="Calibri"/>
        <scheme val="minor"/>
      </font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FF"/>
        <name val="Calibri"/>
        <scheme val="minor"/>
      </font>
      <alignment vertical="top" textRotation="0" wrapTex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FF"/>
        <name val="Calibri"/>
        <scheme val="minor"/>
      </font>
      <alignment vertical="top" textRotation="0" wrapTex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FF"/>
        <name val="Calibri"/>
        <scheme val="minor"/>
      </font>
      <numFmt numFmtId="164" formatCode="000"/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FF"/>
        <name val="Calibri"/>
        <scheme val="minor"/>
      </font>
      <alignment vertical="top" textRotation="0" wrapTex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rgb="FF0000FF"/>
        <name val="Calibri"/>
        <scheme val="minor"/>
      </font>
      <fill>
        <patternFill patternType="solid">
          <fgColor indexed="64"/>
          <bgColor theme="4" tint="0.79998168889431442"/>
        </patternFill>
      </fill>
      <alignment vertical="top" textRotation="0" wrapText="0" justifyLastLine="0" shrinkToFit="0" readingOrder="0"/>
    </dxf>
    <dxf>
      <numFmt numFmtId="3" formatCode="#,##0"/>
    </dxf>
    <dxf>
      <alignment horizontal="right" readingOrder="0"/>
    </dxf>
    <dxf>
      <numFmt numFmtId="168" formatCode="000,000"/>
    </dxf>
    <dxf>
      <font>
        <name val="Calibri"/>
        <scheme val="minor"/>
      </font>
    </dxf>
    <dxf>
      <alignment horizontal="right" readingOrder="0"/>
    </dxf>
    <dxf>
      <alignment horizontal="general" readingOrder="0"/>
    </dxf>
    <dxf>
      <font>
        <name val="Calibri"/>
        <scheme val="minor"/>
      </font>
    </dxf>
    <dxf>
      <numFmt numFmtId="3" formatCode="#,##0"/>
    </dxf>
    <dxf>
      <font>
        <name val="Calibri"/>
        <scheme val="minor"/>
      </font>
    </dxf>
    <dxf>
      <numFmt numFmtId="3" formatCode="#,##0"/>
    </dxf>
    <dxf>
      <font>
        <name val="Calibri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alignment vertical="top" textRotation="0" wrapTex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alignment vertical="top" textRotation="0" wrapTex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alignment vertical="top" textRotation="0" wrapTex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FF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FF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FF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vertical="top" textRotation="0" wrapTex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FF"/>
        <name val="Calibri"/>
        <scheme val="minor"/>
      </font>
      <fill>
        <patternFill patternType="none">
          <fgColor indexed="64"/>
          <bgColor indexed="65"/>
        </patternFill>
      </fill>
      <alignment vertical="top" textRotation="0" wrapTex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FF"/>
        <name val="Calibri"/>
        <scheme val="minor"/>
      </font>
      <fill>
        <patternFill patternType="none">
          <fgColor indexed="64"/>
          <bgColor indexed="65"/>
        </patternFill>
      </fill>
      <alignment vertical="top" textRotation="0" wrapTex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FF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FF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FF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FF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FF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FF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FF"/>
        <name val="Calibri"/>
        <scheme val="minor"/>
      </font>
      <numFmt numFmtId="164" formatCode="000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</dxf>
    <dxf>
      <alignment vertical="top" textRotation="0" wrapTex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alignment vertical="top" textRotation="0" wrapTex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C00000"/>
        <name val="Calibri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FF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FF"/>
        <name val="Calibri"/>
        <scheme val="minor"/>
      </font>
      <alignment horizontal="left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minor"/>
      </font>
    </dxf>
    <dxf>
      <font>
        <strike val="0"/>
        <outline val="0"/>
        <shadow val="0"/>
        <u val="none"/>
        <vertAlign val="baseline"/>
        <sz val="8"/>
        <color auto="1"/>
        <name val="Calibri"/>
        <scheme val="minor"/>
      </font>
      <numFmt numFmtId="0" formatCode="General"/>
      <fill>
        <patternFill patternType="solid">
          <fgColor indexed="64"/>
          <bgColor theme="0" tint="-4.9989318521683403E-2"/>
        </patternFill>
      </fill>
    </dxf>
    <dxf>
      <font>
        <strike val="0"/>
        <outline val="0"/>
        <shadow val="0"/>
        <u val="none"/>
        <vertAlign val="baseline"/>
        <sz val="8"/>
        <color auto="1"/>
        <name val="Calibri"/>
        <scheme val="minor"/>
      </font>
      <numFmt numFmtId="0" formatCode="General"/>
      <fill>
        <patternFill patternType="solid">
          <fgColor indexed="64"/>
          <bgColor theme="0" tint="-4.9989318521683403E-2"/>
        </patternFill>
      </fill>
    </dxf>
    <dxf>
      <numFmt numFmtId="4" formatCode="#,##0.00"/>
      <fill>
        <patternFill patternType="solid">
          <fgColor indexed="64"/>
          <bgColor theme="0" tint="-4.9989318521683403E-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none"/>
      </font>
      <numFmt numFmtId="164" formatCode="000"/>
      <fill>
        <patternFill patternType="solid">
          <fgColor indexed="64"/>
          <bgColor theme="0" tint="-4.9989318521683403E-2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none"/>
      </font>
      <numFmt numFmtId="0" formatCode="General"/>
      <fill>
        <patternFill patternType="solid">
          <fgColor indexed="64"/>
          <bgColor theme="0" tint="-4.9989318521683403E-2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none"/>
      </font>
      <numFmt numFmtId="0" formatCode="General"/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none"/>
      </font>
      <numFmt numFmtId="0" formatCode="General"/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none"/>
      </font>
      <numFmt numFmtId="164" formatCode="000"/>
      <fill>
        <patternFill patternType="solid">
          <fgColor indexed="64"/>
          <bgColor theme="0" tint="-4.9989318521683403E-2"/>
        </patternFill>
      </fill>
      <alignment horizontal="general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none"/>
      </font>
      <numFmt numFmtId="164" formatCode="000"/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FF"/>
        <name val="Calibri"/>
        <scheme val="none"/>
      </font>
      <numFmt numFmtId="164" formatCode="000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none"/>
      </font>
      <numFmt numFmtId="164" formatCode="000"/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none"/>
      </font>
      <numFmt numFmtId="164" formatCode="000"/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none"/>
      </font>
      <numFmt numFmtId="164" formatCode="000"/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none"/>
      </font>
      <numFmt numFmtId="164" formatCode="000"/>
      <fill>
        <patternFill patternType="solid">
          <fgColor indexed="64"/>
          <bgColor theme="0" tint="-4.9989318521683403E-2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none"/>
      </font>
      <numFmt numFmtId="164" formatCode="000"/>
      <fill>
        <patternFill patternType="solid">
          <fgColor indexed="64"/>
          <bgColor theme="0" tint="-4.9989318521683403E-2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none"/>
      </font>
      <numFmt numFmtId="164" formatCode="000"/>
      <fill>
        <patternFill patternType="solid">
          <fgColor indexed="64"/>
          <bgColor theme="0" tint="-4.9989318521683403E-2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none"/>
      </font>
      <numFmt numFmtId="164" formatCode="000"/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Calibri"/>
        <scheme val="none"/>
      </font>
      <numFmt numFmtId="164" formatCode="000"/>
      <fill>
        <patternFill patternType="solid">
          <fgColor indexed="64"/>
          <bgColor theme="0" tint="-4.9989318521683403E-2"/>
        </patternFill>
      </fill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FF"/>
        <name val="Calibri"/>
        <scheme val="none"/>
      </font>
      <numFmt numFmtId="4" formatCode="#,##0.00"/>
      <alignment horizontal="right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FF"/>
        <name val="Calibri"/>
        <scheme val="none"/>
      </font>
      <numFmt numFmtId="3" formatCode="#,##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FF"/>
        <name val="Calibri"/>
        <scheme val="none"/>
      </font>
      <numFmt numFmtId="3" formatCode="#,##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FF"/>
        <name val="Calibri"/>
        <scheme val="none"/>
      </font>
      <numFmt numFmtId="3" formatCode="#,##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FF"/>
        <name val="Calibri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FF"/>
        <name val="Calibri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FF"/>
        <name val="Calibri"/>
        <scheme val="none"/>
      </font>
      <numFmt numFmtId="169" formatCode="d/m/yyyy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FF"/>
        <name val="Calibri"/>
        <scheme val="none"/>
      </font>
      <numFmt numFmtId="0" formatCode="General"/>
      <fill>
        <patternFill patternType="solid">
          <fgColor indexed="64"/>
          <bgColor theme="0" tint="-4.9989318521683403E-2"/>
        </patternFill>
      </fill>
      <alignment horizontal="center" vertical="bottom" textRotation="0" wrapText="0" indent="0" justifyLastLine="0" shrinkToFit="0" readingOrder="0"/>
      <protection locked="0" hidden="0"/>
    </dxf>
    <dxf>
      <fill>
        <patternFill patternType="solid">
          <fgColor indexed="64"/>
          <bgColor theme="0" tint="-4.9989318521683403E-2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Calibri"/>
        <scheme val="none"/>
      </font>
      <numFmt numFmtId="4" formatCode="#,##0.00"/>
      <fill>
        <patternFill patternType="solid">
          <fgColor indexed="64"/>
          <bgColor theme="0" tint="-0.34998626667073579"/>
        </patternFill>
      </fill>
    </dxf>
    <dxf>
      <fill>
        <patternFill patternType="solid">
          <fgColor theme="0" tint="-0.14996795556505021"/>
          <bgColor theme="0" tint="-4.9989318521683403E-2"/>
        </patternFill>
      </fill>
    </dxf>
    <dxf>
      <font>
        <b/>
        <color theme="1"/>
      </font>
      <border>
        <top style="thin">
          <color theme="1"/>
        </top>
      </border>
    </dxf>
    <dxf>
      <font>
        <b/>
        <color theme="1"/>
      </font>
      <border>
        <top/>
        <bottom style="thin">
          <color auto="1"/>
        </bottom>
        <vertical/>
      </border>
    </dxf>
    <dxf>
      <border>
        <top/>
        <vertical style="thick">
          <color theme="0"/>
        </vertical>
      </border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  <border>
        <top style="thin">
          <color theme="0" tint="-0.14996795556505021"/>
        </top>
      </border>
    </dxf>
    <dxf>
      <font>
        <b/>
        <i val="0"/>
        <color theme="0"/>
      </font>
      <fill>
        <patternFill>
          <bgColor theme="0" tint="-0.24994659260841701"/>
        </patternFill>
      </fill>
    </dxf>
    <dxf>
      <fill>
        <patternFill>
          <bgColor theme="0" tint="-4.9989318521683403E-2"/>
        </patternFill>
      </fill>
      <border>
        <bottom style="thin">
          <color theme="0" tint="-0.24994659260841701"/>
        </bottom>
      </border>
    </dxf>
    <dxf>
      <fill>
        <patternFill>
          <bgColor theme="0" tint="-4.9989318521683403E-2"/>
        </patternFill>
      </fill>
      <border>
        <bottom style="thin">
          <color auto="1"/>
        </bottom>
      </border>
    </dxf>
    <dxf>
      <font>
        <b/>
        <i val="0"/>
        <color theme="0"/>
      </font>
      <fill>
        <patternFill>
          <bgColor theme="0" tint="-0.24994659260841701"/>
        </patternFill>
      </fill>
      <border>
        <bottom style="medium">
          <color auto="1"/>
        </bottom>
      </border>
    </dxf>
    <dxf>
      <font>
        <b/>
        <i val="0"/>
      </font>
      <fill>
        <patternFill>
          <bgColor theme="0" tint="-4.9989318521683403E-2"/>
        </patternFill>
      </fill>
      <border>
        <right style="thick">
          <color theme="0"/>
        </right>
      </border>
    </dxf>
    <dxf>
      <font>
        <b/>
        <i val="0"/>
        <color theme="0"/>
      </font>
      <fill>
        <patternFill>
          <bgColor theme="0" tint="-0.499984740745262"/>
        </patternFill>
      </fill>
    </dxf>
    <dxf>
      <font>
        <b/>
        <i val="0"/>
        <color auto="1"/>
      </font>
      <fill>
        <patternFill patternType="solid">
          <bgColor theme="0" tint="-4.9989318521683403E-2"/>
        </patternFill>
      </fill>
      <border>
        <top style="thin">
          <color auto="1"/>
        </top>
        <bottom style="medium">
          <color auto="1"/>
        </bottom>
      </border>
    </dxf>
    <dxf>
      <border>
        <vertical style="thin">
          <color theme="0"/>
        </vertical>
      </border>
    </dxf>
    <dxf>
      <fill>
        <patternFill patternType="solid">
          <fgColor theme="0" tint="-0.14999847407452621"/>
          <bgColor theme="0" tint="-0.14999847407452621"/>
        </patternFill>
      </fill>
    </dxf>
    <dxf>
      <fill>
        <patternFill patternType="solid">
          <fgColor theme="0" tint="-0.14999847407452621"/>
          <bgColor theme="0" tint="-0.14999847407452621"/>
        </patternFill>
      </fill>
    </dxf>
    <dxf>
      <font>
        <color theme="0" tint="-0.24994659260841701"/>
      </font>
      <fill>
        <patternFill patternType="none">
          <bgColor auto="1"/>
        </patternFill>
      </fill>
    </dxf>
    <dxf>
      <font>
        <b val="0"/>
        <i val="0"/>
        <color theme="0"/>
      </font>
      <fill>
        <patternFill patternType="solid">
          <fgColor theme="0" tint="-0.1498764000366222"/>
          <bgColor theme="0" tint="-0.34998626667073579"/>
        </patternFill>
      </fill>
      <border>
        <right style="thick">
          <color theme="0"/>
        </right>
      </border>
    </dxf>
    <dxf>
      <font>
        <b/>
        <color theme="1"/>
      </font>
      <fill>
        <patternFill>
          <bgColor theme="0" tint="-0.14996795556505021"/>
        </patternFill>
      </fill>
      <border>
        <bottom style="thin">
          <color theme="0" tint="-0.34998626667073579"/>
        </bottom>
      </border>
    </dxf>
    <dxf>
      <font>
        <b/>
        <color theme="1"/>
      </font>
      <fill>
        <patternFill patternType="solid">
          <fgColor theme="0" tint="-0.249977111117893"/>
          <bgColor theme="0" tint="-0.14996795556505021"/>
        </patternFill>
      </fill>
      <border>
        <bottom style="thin">
          <color theme="0" tint="-0.24994659260841701"/>
        </bottom>
      </border>
    </dxf>
    <dxf>
      <font>
        <b/>
        <color theme="1"/>
      </font>
      <fill>
        <patternFill>
          <bgColor theme="0" tint="-0.14996795556505021"/>
        </patternFill>
      </fill>
      <border>
        <right style="medium">
          <color theme="0" tint="-0.499984740745262"/>
        </right>
      </border>
    </dxf>
    <dxf>
      <border>
        <left style="medium">
          <color theme="0" tint="-0.14999847407452621"/>
        </left>
        <right style="medium">
          <color theme="0" tint="-0.14999847407452621"/>
        </right>
      </border>
    </dxf>
    <dxf>
      <border>
        <top style="thin">
          <color theme="0" tint="-0.249977111117893"/>
        </top>
        <bottom style="thin">
          <color theme="0" tint="-0.249977111117893"/>
        </bottom>
        <horizontal style="thin">
          <color theme="0" tint="-0.249977111117893"/>
        </horizontal>
      </border>
    </dxf>
    <dxf>
      <font>
        <b/>
        <color theme="1"/>
      </font>
      <fill>
        <patternFill>
          <bgColor theme="0" tint="-0.14996795556505021"/>
        </patternFill>
      </fill>
    </dxf>
    <dxf>
      <font>
        <b/>
        <i val="0"/>
        <color auto="1"/>
      </font>
      <fill>
        <patternFill patternType="none">
          <fgColor indexed="64"/>
          <bgColor auto="1"/>
        </patternFill>
      </fill>
      <border>
        <top/>
      </border>
    </dxf>
    <dxf>
      <font>
        <color theme="1"/>
      </font>
      <border>
        <right style="thick">
          <color theme="0"/>
        </right>
        <bottom style="thin">
          <color theme="0" tint="-0.499984740745262"/>
        </bottom>
        <vertical style="thick">
          <color theme="0"/>
        </vertical>
      </border>
    </dxf>
    <dxf>
      <fill>
        <patternFill patternType="solid">
          <fgColor theme="0" tint="-0.14999847407452621"/>
          <bgColor theme="0" tint="-0.14999847407452621"/>
        </patternFill>
      </fill>
    </dxf>
    <dxf>
      <fill>
        <patternFill patternType="solid">
          <fgColor theme="0" tint="-0.14999847407452621"/>
          <bgColor theme="0" tint="-0.14999847407452621"/>
        </patternFill>
      </fill>
    </dxf>
    <dxf>
      <font>
        <b val="0"/>
        <i val="0"/>
        <color theme="0" tint="-0.499984740745262"/>
      </font>
      <fill>
        <patternFill patternType="solid">
          <fgColor theme="0" tint="-0.14996795556505021"/>
          <bgColor theme="0" tint="-4.9989318521683403E-2"/>
        </patternFill>
      </fill>
    </dxf>
    <dxf>
      <font>
        <b/>
        <color theme="1"/>
      </font>
      <fill>
        <patternFill>
          <bgColor theme="0" tint="-4.9989318521683403E-2"/>
        </patternFill>
      </fill>
      <border>
        <bottom style="thin">
          <color theme="0" tint="-0.14996795556505021"/>
        </bottom>
      </border>
    </dxf>
    <dxf>
      <font>
        <b/>
        <color theme="1"/>
      </font>
      <fill>
        <patternFill patternType="solid">
          <fgColor theme="0" tint="-0.249977111117893"/>
          <bgColor theme="0" tint="-0.14996795556505021"/>
        </patternFill>
      </fill>
      <border>
        <bottom style="thin">
          <color theme="0" tint="-0.24994659260841701"/>
        </bottom>
      </border>
    </dxf>
    <dxf>
      <font>
        <b/>
        <color theme="1"/>
      </font>
      <fill>
        <patternFill>
          <bgColor theme="0" tint="-0.14996795556505021"/>
        </patternFill>
      </fill>
      <border>
        <right style="medium">
          <color theme="0" tint="-0.499984740745262"/>
        </right>
      </border>
    </dxf>
    <dxf>
      <border>
        <left style="medium">
          <color theme="0" tint="-0.14999847407452621"/>
        </left>
        <right style="medium">
          <color theme="0" tint="-0.14999847407452621"/>
        </right>
      </border>
    </dxf>
    <dxf>
      <font>
        <b/>
        <color theme="1"/>
      </font>
      <fill>
        <patternFill>
          <bgColor theme="0" tint="-0.14996795556505021"/>
        </patternFill>
      </fill>
    </dxf>
    <dxf>
      <font>
        <b/>
        <color theme="0"/>
      </font>
      <fill>
        <patternFill patternType="solid">
          <fgColor theme="1" tint="0.499984740745262"/>
          <bgColor theme="1" tint="0.499984740745262"/>
        </patternFill>
      </fill>
      <border>
        <top style="medium">
          <color theme="1" tint="0.499984740745262"/>
        </top>
        <horizontal style="thin">
          <color theme="1" tint="0.499984740745262"/>
        </horizontal>
      </border>
    </dxf>
    <dxf>
      <font>
        <color theme="1"/>
      </font>
      <border>
        <horizontal style="thin">
          <color theme="0" tint="-4.9989318521683403E-2"/>
        </horizontal>
      </border>
    </dxf>
    <dxf>
      <fill>
        <patternFill patternType="solid">
          <fgColor theme="0" tint="-0.14999847407452621"/>
          <bgColor theme="0" tint="-0.14999847407452621"/>
        </patternFill>
      </fill>
    </dxf>
    <dxf>
      <fill>
        <patternFill patternType="solid">
          <fgColor theme="0" tint="-0.14996795556505021"/>
          <bgColor theme="0" tint="-4.9989318521683403E-2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thin">
          <color theme="1"/>
        </top>
      </border>
    </dxf>
    <dxf>
      <font>
        <b/>
        <i val="0"/>
        <color theme="0"/>
      </font>
      <fill>
        <patternFill>
          <bgColor theme="0" tint="-0.499984740745262"/>
        </patternFill>
      </fill>
      <border>
        <bottom style="thin">
          <color theme="1"/>
        </bottom>
      </border>
    </dxf>
    <dxf>
      <font>
        <color theme="1"/>
      </font>
      <border>
        <top style="thin">
          <color theme="1"/>
        </top>
        <bottom style="thin">
          <color theme="1"/>
        </bottom>
      </border>
    </dxf>
    <dxf>
      <fill>
        <patternFill>
          <bgColor theme="0" tint="-4.9989318521683403E-2"/>
        </patternFill>
      </fill>
    </dxf>
    <dxf>
      <border>
        <bottom style="thin">
          <color auto="1"/>
        </bottom>
        <horizontal style="thin">
          <color theme="0" tint="-0.14996795556505021"/>
        </horizontal>
      </border>
    </dxf>
    <dxf>
      <font>
        <b/>
        <color theme="1"/>
      </font>
      <fill>
        <patternFill>
          <bgColor theme="0" tint="-0.14996795556505021"/>
        </patternFill>
      </fill>
      <border>
        <vertical/>
        <horizontal/>
      </border>
    </dxf>
    <dxf>
      <font>
        <sz val="8"/>
        <color theme="1"/>
        <name val="Calibri"/>
        <scheme val="minor"/>
      </font>
      <fill>
        <patternFill>
          <bgColor theme="0" tint="-4.9989318521683403E-2"/>
        </patternFill>
      </fill>
      <border diagonalUp="0" diagonalDown="0">
        <left/>
        <right/>
        <top/>
        <bottom/>
        <vertical/>
        <horizontal/>
      </border>
    </dxf>
  </dxfs>
  <tableStyles count="7" defaultTableStyle="TableStyleMedium2" defaultPivotStyle="PivotStyleLight16">
    <tableStyle name="CBA 01" pivot="0" table="0" count="10" xr9:uid="{00000000-0011-0000-FFFF-FFFF00000000}">
      <tableStyleElement type="wholeTable" dxfId="307"/>
      <tableStyleElement type="headerRow" dxfId="306"/>
    </tableStyle>
    <tableStyle name="data" pivot="0" count="2" xr9:uid="{00000000-0011-0000-FFFF-FFFF01000000}">
      <tableStyleElement type="wholeTable" dxfId="305"/>
      <tableStyleElement type="headerRow" dxfId="304"/>
    </tableStyle>
    <tableStyle name="master data" pivot="0" count="7" xr9:uid="{00000000-0011-0000-FFFF-FFFF02000000}">
      <tableStyleElement type="wholeTable" dxfId="303"/>
      <tableStyleElement type="headerRow" dxfId="302"/>
      <tableStyleElement type="totalRow" dxfId="301"/>
      <tableStyleElement type="firstColumn" dxfId="300"/>
      <tableStyleElement type="lastColumn" dxfId="299"/>
      <tableStyleElement type="firstRowStripe" dxfId="298"/>
      <tableStyleElement type="firstColumnStripe" dxfId="297"/>
    </tableStyle>
    <tableStyle name="PivotStyleMedium8 2" table="0" count="10" xr9:uid="{00000000-0011-0000-FFFF-FFFF03000000}">
      <tableStyleElement type="wholeTable" dxfId="296"/>
      <tableStyleElement type="headerRow" dxfId="295"/>
      <tableStyleElement type="totalRow" dxfId="294"/>
      <tableStyleElement type="firstColumnStripe" dxfId="293"/>
      <tableStyleElement type="firstSubtotalColumn" dxfId="292"/>
      <tableStyleElement type="firstSubtotalRow" dxfId="291"/>
      <tableStyleElement type="secondSubtotalRow" dxfId="290"/>
      <tableStyleElement type="firstRowSubheading" dxfId="289"/>
      <tableStyleElement type="pageFieldLabels" dxfId="288"/>
      <tableStyleElement type="pageFieldValues" dxfId="287"/>
    </tableStyle>
    <tableStyle name="PivotStyleMedium8 2 2" table="0" count="12" xr9:uid="{00000000-0011-0000-FFFF-FFFF04000000}">
      <tableStyleElement type="wholeTable" dxfId="286"/>
      <tableStyleElement type="headerRow" dxfId="285"/>
      <tableStyleElement type="totalRow" dxfId="284"/>
      <tableStyleElement type="firstRowStripe" dxfId="283"/>
      <tableStyleElement type="firstColumnStripe" dxfId="282"/>
      <tableStyleElement type="firstSubtotalColumn" dxfId="281"/>
      <tableStyleElement type="firstSubtotalRow" dxfId="280"/>
      <tableStyleElement type="secondSubtotalRow" dxfId="279"/>
      <tableStyleElement type="firstRowSubheading" dxfId="278"/>
      <tableStyleElement type="secondRowSubheading" dxfId="277"/>
      <tableStyleElement type="pageFieldLabels" dxfId="276"/>
      <tableStyleElement type="pageFieldValues" dxfId="275"/>
    </tableStyle>
    <tableStyle name="Tab 02" table="0" count="10" xr9:uid="{00000000-0011-0000-FFFF-FFFF05000000}">
      <tableStyleElement type="wholeTable" dxfId="274"/>
      <tableStyleElement type="headerRow" dxfId="273"/>
      <tableStyleElement type="totalRow" dxfId="272"/>
      <tableStyleElement type="firstSubtotalColumn" dxfId="271"/>
      <tableStyleElement type="firstSubtotalRow" dxfId="270"/>
      <tableStyleElement type="secondSubtotalRow" dxfId="269"/>
      <tableStyleElement type="thirdSubtotalRow" dxfId="268"/>
      <tableStyleElement type="firstRowSubheading" dxfId="267"/>
      <tableStyleElement type="secondRowSubheading" dxfId="266"/>
      <tableStyleElement type="thirdRowSubheading" dxfId="265"/>
    </tableStyle>
    <tableStyle name="Tab01 šedá" pivot="0" count="4" xr9:uid="{00000000-0011-0000-FFFF-FFFF06000000}">
      <tableStyleElement type="wholeTable" dxfId="264"/>
      <tableStyleElement type="headerRow" dxfId="263"/>
      <tableStyleElement type="totalRow" dxfId="262"/>
      <tableStyleElement type="firstRowStripe" dxfId="261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99FF99"/>
      <rgbColor rgb="000000FF"/>
      <rgbColor rgb="00FFFF00"/>
      <rgbColor rgb="00FF9999"/>
      <rgbColor rgb="0066FFFF"/>
      <rgbColor rgb="00CC0000"/>
      <rgbColor rgb="00669900"/>
      <rgbColor rgb="00000080"/>
      <rgbColor rgb="00808000"/>
      <rgbColor rgb="00FF66FF"/>
      <rgbColor rgb="00008080"/>
      <rgbColor rgb="00DDDDDD"/>
      <rgbColor rgb="0096969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9999FF"/>
      <rgbColor rgb="00CCFFFF"/>
      <rgbColor rgb="00CCFFCC"/>
      <rgbColor rgb="00FFFF99"/>
      <rgbColor rgb="00CCCCFF"/>
      <rgbColor rgb="00FFCCCC"/>
      <rgbColor rgb="00DFBFFF"/>
      <rgbColor rgb="00FFCC99"/>
      <rgbColor rgb="006699FF"/>
      <rgbColor rgb="0033CCCC"/>
      <rgbColor rgb="00FFCC00"/>
      <rgbColor rgb="00FF9966"/>
      <rgbColor rgb="00F6601E"/>
      <rgbColor rgb="00996633"/>
      <rgbColor rgb="00CC3399"/>
      <rgbColor rgb="00C0C0C0"/>
      <rgbColor rgb="0000628A"/>
      <rgbColor rgb="0099CC00"/>
      <rgbColor rgb="00008000"/>
      <rgbColor rgb="00003300"/>
      <rgbColor rgb="00800000"/>
      <rgbColor rgb="00CC99FF"/>
      <rgbColor rgb="00990099"/>
      <rgbColor rgb="004D4D4D"/>
    </indexedColors>
    <mruColors>
      <color rgb="FFD60093"/>
      <color rgb="FF0000FF"/>
      <color rgb="FFE8F5F8"/>
      <color rgb="FFF7EAE9"/>
      <color rgb="FFFFE38B"/>
    </mruColors>
  </colors>
  <extLst>
    <ext xmlns:x14="http://schemas.microsoft.com/office/spreadsheetml/2009/9/main" uri="{46F421CA-312F-682f-3DD2-61675219B42D}">
      <x14:dxfs count="8"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rgb="FF000000"/>
          </font>
          <fill>
            <gradientFill degree="90">
              <stop position="0">
                <color rgb="FFF8E162"/>
              </stop>
              <stop position="1">
                <color rgb="FFFCF7E0"/>
              </stop>
            </gradientFill>
          </fill>
          <border>
            <left style="thin">
              <color rgb="FF999999"/>
            </left>
            <right style="thin">
              <color rgb="FF999999"/>
            </right>
            <top style="thin">
              <color rgb="FF999999"/>
            </top>
            <bottom style="thin">
              <color rgb="FF999999"/>
            </bottom>
            <vertical/>
            <horizontal/>
          </border>
        </dxf>
        <dxf>
          <font>
            <color theme="1"/>
          </font>
          <fill>
            <patternFill patternType="solid">
              <fgColor theme="0" tint="-0.14999847407452621"/>
              <bgColor theme="0" tint="-0.14999847407452621"/>
            </patternFill>
          </fill>
          <border>
            <left style="thin">
              <color rgb="FFCCCCCC"/>
            </left>
            <right style="thin">
              <color rgb="FFCCCCCC"/>
            </right>
            <top style="thin">
              <color rgb="FFCCCCCC"/>
            </top>
            <bottom style="thin">
              <color rgb="FFCCCCCC"/>
            </bottom>
            <vertical/>
            <horizontal/>
          </border>
        </dxf>
        <dxf>
          <font>
            <color theme="0"/>
          </font>
          <fill>
            <patternFill patternType="solid">
              <fgColor theme="0" tint="-0.249977111117893"/>
              <bgColor theme="0" tint="-0.499984740745262"/>
            </patternFill>
          </fill>
          <border>
            <left style="thin">
              <color theme="0" tint="-0.24994659260841701"/>
            </left>
            <right style="thin">
              <color theme="0" tint="-0.24994659260841701"/>
            </right>
            <top style="thin">
              <color theme="0" tint="-0.24994659260841701"/>
            </top>
            <bottom style="thin">
              <color theme="0" tint="-0.24994659260841701"/>
            </bottom>
            <vertical/>
            <horizontal/>
          </border>
        </dxf>
        <dxf>
          <font>
            <color theme="0" tint="-0.24994659260841701"/>
          </font>
          <fill>
            <patternFill patternType="solid">
              <fgColor theme="0"/>
              <bgColor theme="0"/>
            </patternFill>
          </fill>
          <border diagonalUp="0" diagonalDown="0">
            <left/>
            <right/>
            <top/>
            <bottom/>
            <vertical/>
            <horizontal/>
          </border>
        </dxf>
        <dxf>
          <font>
            <color rgb="FF000000"/>
          </font>
          <fill>
            <patternFill patternType="solid">
              <fgColor theme="0"/>
              <bgColor theme="0"/>
            </patternFill>
          </fill>
          <border>
            <left style="thin">
              <color rgb="FFCCCCCC"/>
            </left>
            <right style="thin">
              <color rgb="FFCCCCCC"/>
            </right>
            <top style="thin">
              <color rgb="FFCCCCCC"/>
            </top>
            <bottom style="thin">
              <color rgb="FFCCCCCC"/>
            </bottom>
            <vertical/>
            <horizontal/>
          </border>
        </dxf>
      </x14:dxfs>
    </ext>
    <ext xmlns:x14="http://schemas.microsoft.com/office/spreadsheetml/2009/9/main" uri="{EB79DEF2-80B8-43e5-95BD-54CBDDF9020C}">
      <x14:slicerStyles defaultSlicerStyle="SlicerStyleLight1">
        <x14:slicerStyle name="CBA 01">
          <x14:slicerStyleElements>
            <x14:slicerStyleElement type="unselectedItemWithData" dxfId="7"/>
            <x14:slicerStyleElement type="unselectedItemWithNoData" dxfId="6"/>
            <x14:slicerStyleElement type="selectedItemWithData" dxfId="5"/>
            <x14:slicerStyleElement type="selectedItemWithNoData" dxfId="4"/>
            <x14:slicerStyleElement type="hoveredUnselectedItemWithData" dxfId="3"/>
            <x14:slicerStyleElement type="hoveredSelectedItemWithData" dxfId="2"/>
            <x14:slicerStyleElement type="hoveredUnselectedItemWithNoData" dxfId="1"/>
            <x14:slicerStyleElement type="hoveredSelectedItemWithNoData" dxfId="0"/>
          </x14:slicerStyleElements>
        </x14:slicerStyle>
      </x14:slicerStyles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2.xml"/><Relationship Id="rId26" Type="http://schemas.microsoft.com/office/2007/relationships/slicerCache" Target="slicerCaches/slicerCache6.xml"/><Relationship Id="rId3" Type="http://schemas.openxmlformats.org/officeDocument/2006/relationships/worksheet" Target="worksheets/sheet3.xml"/><Relationship Id="rId21" Type="http://schemas.microsoft.com/office/2007/relationships/slicerCache" Target="slicerCaches/slicerCach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5" Type="http://schemas.microsoft.com/office/2007/relationships/slicerCache" Target="slicerCaches/slicerCache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pivotCacheDefinition" Target="pivotCache/pivotCacheDefinition1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microsoft.com/office/2007/relationships/slicerCache" Target="slicerCaches/slicerCache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microsoft.com/office/2007/relationships/slicerCache" Target="slicerCaches/slicerCache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microsoft.com/office/2007/relationships/slicerCache" Target="slicerCaches/slicerCache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6305549</xdr:colOff>
      <xdr:row>13</xdr:row>
      <xdr:rowOff>161923</xdr:rowOff>
    </xdr:from>
    <xdr:to>
      <xdr:col>8</xdr:col>
      <xdr:colOff>134290</xdr:colOff>
      <xdr:row>23</xdr:row>
      <xdr:rowOff>62612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19849" y="2562223"/>
          <a:ext cx="3906191" cy="2005714"/>
        </a:xfrm>
        <a:prstGeom prst="rect">
          <a:avLst/>
        </a:prstGeom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>
    <xdr:from>
      <xdr:col>1</xdr:col>
      <xdr:colOff>4448175</xdr:colOff>
      <xdr:row>16</xdr:row>
      <xdr:rowOff>257175</xdr:rowOff>
    </xdr:from>
    <xdr:to>
      <xdr:col>4</xdr:col>
      <xdr:colOff>152400</xdr:colOff>
      <xdr:row>19</xdr:row>
      <xdr:rowOff>66675</xdr:rowOff>
    </xdr:to>
    <xdr:cxnSp macro="">
      <xdr:nvCxnSpPr>
        <xdr:cNvPr id="3" name="Přímá spojnice se šipkou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4562475" y="3143250"/>
          <a:ext cx="3343275" cy="457200"/>
        </a:xfrm>
        <a:prstGeom prst="straightConnector1">
          <a:avLst/>
        </a:prstGeom>
        <a:ln>
          <a:solidFill>
            <a:schemeClr val="bg1">
              <a:lumMod val="65000"/>
            </a:schemeClr>
          </a:solidFill>
          <a:tailEnd type="arrow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5934075</xdr:colOff>
      <xdr:row>14</xdr:row>
      <xdr:rowOff>95250</xdr:rowOff>
    </xdr:from>
    <xdr:to>
      <xdr:col>1</xdr:col>
      <xdr:colOff>6315075</xdr:colOff>
      <xdr:row>15</xdr:row>
      <xdr:rowOff>76200</xdr:rowOff>
    </xdr:to>
    <xdr:cxnSp macro="">
      <xdr:nvCxnSpPr>
        <xdr:cNvPr id="4" name="Přímá spojnice se šipkou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>
          <a:off x="6048375" y="2657475"/>
          <a:ext cx="381000" cy="142875"/>
        </a:xfrm>
        <a:prstGeom prst="straightConnector1">
          <a:avLst/>
        </a:prstGeom>
        <a:ln>
          <a:solidFill>
            <a:schemeClr val="bg1">
              <a:lumMod val="65000"/>
            </a:schemeClr>
          </a:solidFill>
          <a:tailEnd type="arrow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200025</xdr:colOff>
      <xdr:row>106</xdr:row>
      <xdr:rowOff>142875</xdr:rowOff>
    </xdr:from>
    <xdr:to>
      <xdr:col>9</xdr:col>
      <xdr:colOff>18902</xdr:colOff>
      <xdr:row>111</xdr:row>
      <xdr:rowOff>66583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172575" y="19050000"/>
          <a:ext cx="1180952" cy="733333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1</xdr:col>
      <xdr:colOff>3790950</xdr:colOff>
      <xdr:row>109</xdr:row>
      <xdr:rowOff>95250</xdr:rowOff>
    </xdr:from>
    <xdr:to>
      <xdr:col>1</xdr:col>
      <xdr:colOff>4914760</xdr:colOff>
      <xdr:row>114</xdr:row>
      <xdr:rowOff>76101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905250" y="19488150"/>
          <a:ext cx="1123810" cy="790476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>
    <xdr:from>
      <xdr:col>2</xdr:col>
      <xdr:colOff>0</xdr:colOff>
      <xdr:row>22</xdr:row>
      <xdr:rowOff>114300</xdr:rowOff>
    </xdr:from>
    <xdr:to>
      <xdr:col>4</xdr:col>
      <xdr:colOff>161925</xdr:colOff>
      <xdr:row>25</xdr:row>
      <xdr:rowOff>171451</xdr:rowOff>
    </xdr:to>
    <xdr:cxnSp macro="">
      <xdr:nvCxnSpPr>
        <xdr:cNvPr id="7" name="Přímá spojnice se šipkou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CxnSpPr/>
      </xdr:nvCxnSpPr>
      <xdr:spPr>
        <a:xfrm flipV="1">
          <a:off x="6534150" y="4457700"/>
          <a:ext cx="1381125" cy="704851"/>
        </a:xfrm>
        <a:prstGeom prst="straightConnector1">
          <a:avLst/>
        </a:prstGeom>
        <a:ln>
          <a:solidFill>
            <a:schemeClr val="bg1">
              <a:lumMod val="65000"/>
            </a:schemeClr>
          </a:solidFill>
          <a:tailEnd type="arrow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5238750</xdr:colOff>
      <xdr:row>19</xdr:row>
      <xdr:rowOff>190500</xdr:rowOff>
    </xdr:from>
    <xdr:to>
      <xdr:col>3</xdr:col>
      <xdr:colOff>466725</xdr:colOff>
      <xdr:row>20</xdr:row>
      <xdr:rowOff>85725</xdr:rowOff>
    </xdr:to>
    <xdr:cxnSp macro="">
      <xdr:nvCxnSpPr>
        <xdr:cNvPr id="8" name="Přímá spojnice se šipkou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CxnSpPr/>
      </xdr:nvCxnSpPr>
      <xdr:spPr>
        <a:xfrm>
          <a:off x="5353050" y="3724275"/>
          <a:ext cx="2257425" cy="219075"/>
        </a:xfrm>
        <a:prstGeom prst="straightConnector1">
          <a:avLst/>
        </a:prstGeom>
        <a:ln>
          <a:solidFill>
            <a:schemeClr val="bg1">
              <a:lumMod val="65000"/>
            </a:schemeClr>
          </a:solidFill>
          <a:tailEnd type="arrow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1657350</xdr:colOff>
      <xdr:row>21</xdr:row>
      <xdr:rowOff>76200</xdr:rowOff>
    </xdr:from>
    <xdr:to>
      <xdr:col>3</xdr:col>
      <xdr:colOff>485775</xdr:colOff>
      <xdr:row>22</xdr:row>
      <xdr:rowOff>95251</xdr:rowOff>
    </xdr:to>
    <xdr:cxnSp macro="">
      <xdr:nvCxnSpPr>
        <xdr:cNvPr id="9" name="Přímá spojnice se šipkou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CxnSpPr/>
      </xdr:nvCxnSpPr>
      <xdr:spPr>
        <a:xfrm flipV="1">
          <a:off x="1771650" y="4257675"/>
          <a:ext cx="5857875" cy="180976"/>
        </a:xfrm>
        <a:prstGeom prst="straightConnector1">
          <a:avLst/>
        </a:prstGeom>
        <a:ln>
          <a:solidFill>
            <a:schemeClr val="bg1">
              <a:lumMod val="65000"/>
            </a:schemeClr>
          </a:solidFill>
          <a:tailEnd type="arrow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2609850</xdr:colOff>
      <xdr:row>32</xdr:row>
      <xdr:rowOff>76200</xdr:rowOff>
    </xdr:from>
    <xdr:to>
      <xdr:col>7</xdr:col>
      <xdr:colOff>106286</xdr:colOff>
      <xdr:row>37</xdr:row>
      <xdr:rowOff>436575</xdr:rowOff>
    </xdr:to>
    <xdr:pic>
      <xdr:nvPicPr>
        <xdr:cNvPr id="10" name="Obrázek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724150" y="6562725"/>
          <a:ext cx="6964286" cy="1170000"/>
        </a:xfrm>
        <a:prstGeom prst="rect">
          <a:avLst/>
        </a:prstGeom>
      </xdr:spPr>
    </xdr:pic>
    <xdr:clientData/>
  </xdr:twoCellAnchor>
  <xdr:twoCellAnchor>
    <xdr:from>
      <xdr:col>1</xdr:col>
      <xdr:colOff>6276976</xdr:colOff>
      <xdr:row>86</xdr:row>
      <xdr:rowOff>57150</xdr:rowOff>
    </xdr:from>
    <xdr:to>
      <xdr:col>8</xdr:col>
      <xdr:colOff>105717</xdr:colOff>
      <xdr:row>94</xdr:row>
      <xdr:rowOff>148416</xdr:rowOff>
    </xdr:to>
    <xdr:pic>
      <xdr:nvPicPr>
        <xdr:cNvPr id="11" name="Obrázek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391276" y="15725775"/>
          <a:ext cx="3906191" cy="1386666"/>
        </a:xfrm>
        <a:prstGeom prst="rect">
          <a:avLst/>
        </a:prstGeom>
      </xdr:spPr>
    </xdr:pic>
    <xdr:clientData/>
  </xdr:twoCellAnchor>
  <xdr:twoCellAnchor>
    <xdr:from>
      <xdr:col>1</xdr:col>
      <xdr:colOff>219075</xdr:colOff>
      <xdr:row>91</xdr:row>
      <xdr:rowOff>152400</xdr:rowOff>
    </xdr:from>
    <xdr:to>
      <xdr:col>1</xdr:col>
      <xdr:colOff>2992409</xdr:colOff>
      <xdr:row>94</xdr:row>
      <xdr:rowOff>149482</xdr:rowOff>
    </xdr:to>
    <xdr:pic>
      <xdr:nvPicPr>
        <xdr:cNvPr id="12" name="Obrázek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333375" y="16630650"/>
          <a:ext cx="2773334" cy="482857"/>
        </a:xfrm>
        <a:prstGeom prst="rect">
          <a:avLst/>
        </a:prstGeom>
      </xdr:spPr>
    </xdr:pic>
    <xdr:clientData/>
  </xdr:twoCellAnchor>
  <xdr:twoCellAnchor>
    <xdr:from>
      <xdr:col>1</xdr:col>
      <xdr:colOff>5705475</xdr:colOff>
      <xdr:row>88</xdr:row>
      <xdr:rowOff>85725</xdr:rowOff>
    </xdr:from>
    <xdr:to>
      <xdr:col>1</xdr:col>
      <xdr:colOff>6267450</xdr:colOff>
      <xdr:row>88</xdr:row>
      <xdr:rowOff>114300</xdr:rowOff>
    </xdr:to>
    <xdr:cxnSp macro="">
      <xdr:nvCxnSpPr>
        <xdr:cNvPr id="13" name="Přímá spojnice se šipkou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CxnSpPr/>
      </xdr:nvCxnSpPr>
      <xdr:spPr>
        <a:xfrm>
          <a:off x="5819775" y="16078200"/>
          <a:ext cx="561975" cy="28575"/>
        </a:xfrm>
        <a:prstGeom prst="straightConnector1">
          <a:avLst/>
        </a:prstGeom>
        <a:ln>
          <a:solidFill>
            <a:schemeClr val="bg1">
              <a:lumMod val="65000"/>
            </a:schemeClr>
          </a:solidFill>
          <a:tailEnd type="arrow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1390650</xdr:colOff>
      <xdr:row>92</xdr:row>
      <xdr:rowOff>19050</xdr:rowOff>
    </xdr:from>
    <xdr:to>
      <xdr:col>1</xdr:col>
      <xdr:colOff>2047875</xdr:colOff>
      <xdr:row>94</xdr:row>
      <xdr:rowOff>9525</xdr:rowOff>
    </xdr:to>
    <xdr:cxnSp macro="">
      <xdr:nvCxnSpPr>
        <xdr:cNvPr id="14" name="Přímá spojnice se šipkou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CxnSpPr/>
      </xdr:nvCxnSpPr>
      <xdr:spPr>
        <a:xfrm>
          <a:off x="1504950" y="16659225"/>
          <a:ext cx="657225" cy="314325"/>
        </a:xfrm>
        <a:prstGeom prst="straightConnector1">
          <a:avLst/>
        </a:prstGeom>
        <a:ln>
          <a:solidFill>
            <a:schemeClr val="bg1">
              <a:lumMod val="65000"/>
            </a:schemeClr>
          </a:solidFill>
          <a:tailEnd type="arrow"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1654968</xdr:colOff>
      <xdr:row>3</xdr:row>
      <xdr:rowOff>35718</xdr:rowOff>
    </xdr:from>
    <xdr:ext cx="7119938" cy="261937"/>
    <xdr:sp macro="" textlink="">
      <xdr:nvSpPr>
        <xdr:cNvPr id="2" name="TextovéPole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/>
      </xdr:nvSpPr>
      <xdr:spPr>
        <a:xfrm>
          <a:off x="2416968" y="773906"/>
          <a:ext cx="7119938" cy="26193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r"/>
          <a:r>
            <a:rPr lang="cs-CZ" sz="1100" b="1" baseline="0">
              <a:solidFill>
                <a:srgbClr val="0000FF"/>
              </a:solidFill>
            </a:rPr>
            <a:t>Minulé účetní období se zadává ručně do barevných políček. V případě nulové hodnoty je potřeba zadat nulu!</a:t>
          </a:r>
        </a:p>
      </xdr:txBody>
    </xdr:sp>
    <xdr:clientData fPrint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9525</xdr:rowOff>
    </xdr:from>
    <xdr:to>
      <xdr:col>3</xdr:col>
      <xdr:colOff>498840</xdr:colOff>
      <xdr:row>3</xdr:row>
      <xdr:rowOff>63750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2" name="výkaz">
              <a:extLst>
                <a:ext uri="{FF2B5EF4-FFF2-40B4-BE49-F238E27FC236}">
                  <a16:creationId xmlns:a16="http://schemas.microsoft.com/office/drawing/2014/main" id="{00000000-0008-0000-0D00-000002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výkaz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0" y="9525"/>
              <a:ext cx="2388600" cy="54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cs-CZ" sz="1100"/>
                <a:t>Tento obrazec představuje průřez. Průřezy lze používat od verze Excel 2010.
Pokud byl obrazec změněn v dřívější verzi aplikace Excel nebo pokud byl sešit uložen v aplikaci Excel 2003 nebo dřívější, nelze průžez použít.</a:t>
              </a:r>
            </a:p>
          </xdr:txBody>
        </xdr:sp>
      </mc:Fallback>
    </mc:AlternateContent>
    <xdr:clientData/>
  </xdr:twoCellAnchor>
  <xdr:twoCellAnchor editAs="absolute">
    <xdr:from>
      <xdr:col>3</xdr:col>
      <xdr:colOff>567690</xdr:colOff>
      <xdr:row>0</xdr:row>
      <xdr:rowOff>0</xdr:rowOff>
    </xdr:from>
    <xdr:to>
      <xdr:col>9</xdr:col>
      <xdr:colOff>35835</xdr:colOff>
      <xdr:row>3</xdr:row>
      <xdr:rowOff>54225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3" name="část">
              <a:extLst>
                <a:ext uri="{FF2B5EF4-FFF2-40B4-BE49-F238E27FC236}">
                  <a16:creationId xmlns:a16="http://schemas.microsoft.com/office/drawing/2014/main" id="{00000000-0008-0000-0D00-000003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část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457450" y="0"/>
              <a:ext cx="3165750" cy="54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cs-CZ" sz="1100"/>
                <a:t>Tento obrazec představuje průřez. Průřezy lze používat od verze Excel 2010.
Pokud byl obrazec změněn v dřívější verzi aplikace Excel nebo pokud byl sešit uložen v aplikaci Excel 2003 nebo dřívější, nelze průžez použít.</a:t>
              </a:r>
            </a:p>
          </xdr:txBody>
        </xdr:sp>
      </mc:Fallback>
    </mc:AlternateContent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9525</xdr:colOff>
      <xdr:row>0</xdr:row>
      <xdr:rowOff>9525</xdr:rowOff>
    </xdr:from>
    <xdr:to>
      <xdr:col>2</xdr:col>
      <xdr:colOff>1093200</xdr:colOff>
      <xdr:row>3</xdr:row>
      <xdr:rowOff>63750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2" name="výkaz 1">
              <a:extLst>
                <a:ext uri="{FF2B5EF4-FFF2-40B4-BE49-F238E27FC236}">
                  <a16:creationId xmlns:a16="http://schemas.microsoft.com/office/drawing/2014/main" id="{00000000-0008-0000-0E00-000002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výkaz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85725" y="9525"/>
              <a:ext cx="2388600" cy="54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cs-CZ" sz="1100"/>
                <a:t>Tento obrazec představuje průřez. Průřezy lze používat od verze Excel 2010.
Pokud byl obrazec změněn v dřívější verzi aplikace Excel nebo pokud byl sešit uložen v aplikaci Excel 2003 nebo dřívější, nelze průžez použít.</a:t>
              </a:r>
            </a:p>
          </xdr:txBody>
        </xdr:sp>
      </mc:Fallback>
    </mc:AlternateContent>
    <xdr:clientData/>
  </xdr:twoCellAnchor>
  <xdr:twoCellAnchor editAs="absolute">
    <xdr:from>
      <xdr:col>2</xdr:col>
      <xdr:colOff>1162050</xdr:colOff>
      <xdr:row>0</xdr:row>
      <xdr:rowOff>0</xdr:rowOff>
    </xdr:from>
    <xdr:to>
      <xdr:col>5</xdr:col>
      <xdr:colOff>1545</xdr:colOff>
      <xdr:row>3</xdr:row>
      <xdr:rowOff>54225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3" name="část 1">
              <a:extLst>
                <a:ext uri="{FF2B5EF4-FFF2-40B4-BE49-F238E27FC236}">
                  <a16:creationId xmlns:a16="http://schemas.microsoft.com/office/drawing/2014/main" id="{00000000-0008-0000-0E00-000003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část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543175" y="0"/>
              <a:ext cx="3165750" cy="54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cs-CZ" sz="1100"/>
                <a:t>Tento obrazec představuje průřez. Průřezy lze používat od verze Excel 2010.
Pokud byl obrazec změněn v dřívější verzi aplikace Excel nebo pokud byl sešit uložen v aplikaci Excel 2003 nebo dřívější, nelze průžez použít.</a:t>
              </a:r>
            </a:p>
          </xdr:txBody>
        </xdr:sp>
      </mc:Fallback>
    </mc:AlternateContent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0</xdr:colOff>
      <xdr:row>0</xdr:row>
      <xdr:rowOff>9525</xdr:rowOff>
    </xdr:from>
    <xdr:to>
      <xdr:col>2</xdr:col>
      <xdr:colOff>1197975</xdr:colOff>
      <xdr:row>3</xdr:row>
      <xdr:rowOff>63750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2" name="výkaz 2">
              <a:extLst>
                <a:ext uri="{FF2B5EF4-FFF2-40B4-BE49-F238E27FC236}">
                  <a16:creationId xmlns:a16="http://schemas.microsoft.com/office/drawing/2014/main" id="{00000000-0008-0000-1100-000002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výkaz 2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76200" y="9525"/>
              <a:ext cx="2388600" cy="54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cs-CZ" sz="1100"/>
                <a:t>Tento obrazec představuje průřez. Průřezy lze používat od verze Excel 2010.
Pokud byl obrazec změněn v dřívější verzi aplikace Excel nebo pokud byl sešit uložen v aplikaci Excel 2003 nebo dřívější, nelze průžez použít.</a:t>
              </a:r>
            </a:p>
          </xdr:txBody>
        </xdr:sp>
      </mc:Fallback>
    </mc:AlternateContent>
    <xdr:clientData/>
  </xdr:twoCellAnchor>
  <xdr:twoCellAnchor editAs="absolute">
    <xdr:from>
      <xdr:col>3</xdr:col>
      <xdr:colOff>19050</xdr:colOff>
      <xdr:row>0</xdr:row>
      <xdr:rowOff>0</xdr:rowOff>
    </xdr:from>
    <xdr:to>
      <xdr:col>4</xdr:col>
      <xdr:colOff>2689500</xdr:colOff>
      <xdr:row>3</xdr:row>
      <xdr:rowOff>54225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3" name="část 2">
              <a:extLst>
                <a:ext uri="{FF2B5EF4-FFF2-40B4-BE49-F238E27FC236}">
                  <a16:creationId xmlns:a16="http://schemas.microsoft.com/office/drawing/2014/main" id="{00000000-0008-0000-1100-000003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část 2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533650" y="0"/>
              <a:ext cx="3165750" cy="54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cs-CZ" sz="1100"/>
                <a:t>Tento obrazec představuje průřez. Průřezy lze používat od verze Excel 2010.
Pokud byl obrazec změněn v dřívější verzi aplikace Excel nebo pokud byl sešit uložen v aplikaci Excel 2003 nebo dřívější, nelze průžez použít.</a:t>
              </a:r>
            </a:p>
          </xdr:txBody>
        </xdr:sp>
      </mc:Fallback>
    </mc:AlternateContent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uchance/AppData/Local/Microsoft/Windows/Temporary%20Internet%20Files/Content.IE5/HVNXXBU1/CBA%20vykazy%202013_interni%20verze_15010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sistent/AppData/Local/Microsoft/Windows/Temporary%20Internet%20Files/Content.Outlook/91UZ06ZK/CBA%20vykazy%202014_interni%20verze_15010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uchance/AppData/Local/Microsoft/Windows/Temporary%20Internet%20Files/Content.Outlook/CJKJO33J/0.%20MASTER%20DATA_ol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stup"/>
      <sheetName val="INDEX"/>
      <sheetName val="DATA"/>
      <sheetName val="AKTIVA"/>
      <sheetName val="PASIVA"/>
      <sheetName val="VÝKAZ ZZ"/>
      <sheetName val="p_1"/>
      <sheetName val="F1.2"/>
      <sheetName val="F1.4"/>
      <sheetName val="F1.6"/>
      <sheetName val="analyza - vysledovka"/>
      <sheetName val="analyza - rozvaha"/>
      <sheetName val="procesy"/>
      <sheetName val="ukazatele"/>
      <sheetName val="ucty_synt"/>
      <sheetName val="řádky R"/>
      <sheetName val="řádky V"/>
      <sheetName val="dates"/>
      <sheetName val="CF - vypocet"/>
      <sheetName val="CF - vykaz"/>
    </sheetNames>
    <sheetDataSet>
      <sheetData sheetId="0"/>
      <sheetData sheetId="1">
        <row r="12">
          <cell r="C12">
            <v>41912</v>
          </cell>
        </row>
        <row r="17">
          <cell r="D17">
            <v>1000</v>
          </cell>
        </row>
        <row r="19">
          <cell r="C19" t="str">
            <v>česky</v>
          </cell>
        </row>
      </sheetData>
      <sheetData sheetId="2"/>
      <sheetData sheetId="3">
        <row r="10">
          <cell r="N10">
            <v>102239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stup"/>
      <sheetName val="INDEX"/>
      <sheetName val="DATA"/>
      <sheetName val="AKTIVA"/>
      <sheetName val="PASIVA"/>
      <sheetName val="VÝKAZ ZZ"/>
      <sheetName val="p_1"/>
      <sheetName val="F1.2"/>
      <sheetName val="F1.4"/>
      <sheetName val="F1.6"/>
      <sheetName val="analyza - vysledovka"/>
      <sheetName val="analyza - rozvaha"/>
      <sheetName val="procesy"/>
      <sheetName val="ukazatele"/>
      <sheetName val="ucty_synt"/>
      <sheetName val="řádky R"/>
      <sheetName val="řádky V"/>
      <sheetName val="dates"/>
      <sheetName val="CF - vypocet"/>
      <sheetName val="CF - vykaz"/>
    </sheetNames>
    <sheetDataSet>
      <sheetData sheetId="0"/>
      <sheetData sheetId="1">
        <row r="17">
          <cell r="D17">
            <v>1000</v>
          </cell>
        </row>
        <row r="19">
          <cell r="C19" t="str">
            <v>česky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ostup"/>
      <sheetName val="INDEX"/>
      <sheetName val="DATA"/>
      <sheetName val="VÝKAZ ZZ"/>
      <sheetName val="AKTIVA"/>
      <sheetName val="PASIVA"/>
      <sheetName val="pivot"/>
      <sheetName val="ucty_synt"/>
      <sheetName val="řádky R"/>
      <sheetName val="řádky V"/>
      <sheetName val="dates"/>
    </sheetNames>
    <sheetDataSet>
      <sheetData sheetId="0"/>
      <sheetData sheetId="1">
        <row r="17">
          <cell r="D17">
            <v>1000</v>
          </cell>
        </row>
        <row r="19">
          <cell r="C19" t="str">
            <v>česky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Vačkářová" refreshedDate="43714.398041898145" missingItemsLimit="0" createdVersion="4" refreshedVersion="6" minRefreshableVersion="3" recordCount="2" xr:uid="{00000000-000A-0000-FFFF-FFFF01000000}">
  <cacheSource type="worksheet">
    <worksheetSource name="data"/>
  </cacheSource>
  <cacheFields count="26">
    <cacheField name="zdroj" numFmtId="0">
      <sharedItems containsNonDate="0" containsString="0" containsBlank="1" count="1">
        <m/>
      </sharedItems>
    </cacheField>
    <cacheField name="datum" numFmtId="14">
      <sharedItems containsNonDate="0" containsString="0" containsBlank="1" count="1">
        <m/>
      </sharedItems>
    </cacheField>
    <cacheField name="ucet" numFmtId="0">
      <sharedItems containsNonDate="0" containsString="0" containsBlank="1" count="1">
        <m/>
      </sharedItems>
    </cacheField>
    <cacheField name="ucet_an_nazev" numFmtId="0">
      <sharedItems containsNonDate="0" containsString="0" containsBlank="1" count="1">
        <m/>
      </sharedItems>
    </cacheField>
    <cacheField name="pocatecni zust" numFmtId="3">
      <sharedItems containsNonDate="0" containsString="0" containsBlank="1"/>
    </cacheField>
    <cacheField name="obrat MD" numFmtId="3">
      <sharedItems containsNonDate="0" containsString="0" containsBlank="1"/>
    </cacheField>
    <cacheField name="obrat D" numFmtId="3">
      <sharedItems containsNonDate="0" containsString="0" containsBlank="1"/>
    </cacheField>
    <cacheField name="zustatek" numFmtId="4">
      <sharedItems containsNonDate="0" containsString="0" containsBlank="1"/>
    </cacheField>
    <cacheField name="ucet_an_cislo_popis" numFmtId="164">
      <sharedItems count="1">
        <s v=" "/>
      </sharedItems>
    </cacheField>
    <cacheField name="uc_synt" numFmtId="164">
      <sharedItems/>
    </cacheField>
    <cacheField name="uc_synt_popis" numFmtId="164">
      <sharedItems/>
    </cacheField>
    <cacheField name="výkaz" numFmtId="164">
      <sharedItems count="1">
        <s v="-"/>
      </sharedItems>
    </cacheField>
    <cacheField name="část" numFmtId="164">
      <sharedItems count="1">
        <s v="-"/>
      </sharedItems>
    </cacheField>
    <cacheField name="ř_auto" numFmtId="164">
      <sharedItems/>
    </cacheField>
    <cacheField name="ř_A/P a" numFmtId="164">
      <sharedItems/>
    </cacheField>
    <cacheField name="ř_A/P s" numFmtId="164">
      <sharedItems/>
    </cacheField>
    <cacheField name="ř_ručně" numFmtId="164">
      <sharedItems containsNonDate="0" containsString="0" containsBlank="1"/>
    </cacheField>
    <cacheField name="ř_final" numFmtId="164">
      <sharedItems/>
    </cacheField>
    <cacheField name="ř_číslo_popis" numFmtId="164">
      <sharedItems count="1">
        <s v="-"/>
      </sharedItems>
    </cacheField>
    <cacheField name="id_1" numFmtId="0">
      <sharedItems/>
    </cacheField>
    <cacheField name="id_2" numFmtId="0">
      <sharedItems/>
    </cacheField>
    <cacheField name="id_skupina" numFmtId="0">
      <sharedItems count="1">
        <s v="-"/>
      </sharedItems>
    </cacheField>
    <cacheField name="typ sloupce" numFmtId="164">
      <sharedItems/>
    </cacheField>
    <cacheField name="zokrouhleno" numFmtId="4">
      <sharedItems containsSemiMixedTypes="0" containsString="0" containsNumber="1" containsInteger="1" minValue="0" maxValue="0"/>
    </cacheField>
    <cacheField name="proces default" numFmtId="0">
      <sharedItems/>
    </cacheField>
    <cacheField name="proces final" numFmtId="0">
      <sharedItems count="1">
        <s v="-"/>
      </sharedItems>
    </cacheField>
  </cacheFields>
  <extLst>
    <ext xmlns:x14="http://schemas.microsoft.com/office/spreadsheetml/2009/9/main" uri="{725AE2AE-9491-48be-B2B4-4EB974FC3084}">
      <x14:pivotCacheDefinition pivotCacheId="1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">
  <r>
    <x v="0"/>
    <x v="0"/>
    <x v="0"/>
    <x v="0"/>
    <m/>
    <m/>
    <m/>
    <m/>
    <x v="0"/>
    <s v="-"/>
    <s v="-"/>
    <x v="0"/>
    <x v="0"/>
    <s v="-"/>
    <s v="-"/>
    <s v="-"/>
    <m/>
    <s v="-"/>
    <x v="0"/>
    <s v="-"/>
    <s v="-"/>
    <x v="0"/>
    <s v="-"/>
    <n v="0"/>
    <s v="-"/>
    <x v="0"/>
  </r>
  <r>
    <x v="0"/>
    <x v="0"/>
    <x v="0"/>
    <x v="0"/>
    <m/>
    <m/>
    <m/>
    <m/>
    <x v="0"/>
    <s v="-"/>
    <s v="-"/>
    <x v="0"/>
    <x v="0"/>
    <s v="-"/>
    <s v="-"/>
    <s v="-"/>
    <m/>
    <s v="-"/>
    <x v="0"/>
    <s v="-"/>
    <s v="-"/>
    <x v="0"/>
    <s v="-"/>
    <n v="0"/>
    <s v="-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C00-000000000000}" name="Kontingenční tabulka 1" cacheId="0" applyNumberFormats="0" applyBorderFormats="0" applyFontFormats="0" applyPatternFormats="0" applyAlignmentFormats="0" applyWidthHeightFormats="1" dataCaption="Hodnoty" grandTotalCaption="Total" updatedVersion="6" minRefreshableVersion="3" useAutoFormatting="1" colGrandTotals="0" itemPrintTitles="1" createdVersion="4" indent="0" showHeaders="0" outline="1" outlineData="1" multipleFieldFilters="0">
  <location ref="B5:C11" firstHeaderRow="1" firstDataRow="2" firstDataCol="1"/>
  <pivotFields count="26">
    <pivotField showAll="0"/>
    <pivotField axis="axisCol" numFmtId="14" showAll="0" sortType="descending">
      <items count="2">
        <item x="0"/>
        <item t="default"/>
      </items>
    </pivotField>
    <pivotField showAll="0"/>
    <pivotField showAll="0"/>
    <pivotField showAll="0"/>
    <pivotField showAll="0"/>
    <pivotField showAll="0"/>
    <pivotField showAll="0"/>
    <pivotField axis="axisRow" showAll="0">
      <items count="2">
        <item x="0"/>
        <item t="default"/>
      </items>
    </pivotField>
    <pivotField numFmtId="164" showAll="0"/>
    <pivotField showAll="0"/>
    <pivotField showAll="0">
      <items count="2">
        <item x="0"/>
        <item t="default"/>
      </items>
    </pivotField>
    <pivotField showAll="0">
      <items count="2">
        <item x="0"/>
        <item t="default"/>
      </items>
    </pivotField>
    <pivotField showAll="0"/>
    <pivotField showAll="0"/>
    <pivotField showAll="0"/>
    <pivotField showAll="0"/>
    <pivotField showAll="0"/>
    <pivotField axis="axisRow" showAll="0">
      <items count="2">
        <item x="0"/>
        <item t="default" sd="0"/>
      </items>
    </pivotField>
    <pivotField showAll="0"/>
    <pivotField showAll="0"/>
    <pivotField axis="axisRow" showAll="0" insertBlankRow="1">
      <items count="2">
        <item x="0"/>
        <item t="default"/>
      </items>
    </pivotField>
    <pivotField showAll="0"/>
    <pivotField dataField="1" numFmtId="4" showAll="0"/>
    <pivotField showAll="0" defaultSubtotal="0"/>
    <pivotField showAll="0" defaultSubtotal="0"/>
  </pivotFields>
  <rowFields count="3">
    <field x="21"/>
    <field x="18"/>
    <field x="8"/>
  </rowFields>
  <rowItems count="5">
    <i>
      <x/>
    </i>
    <i r="1">
      <x/>
    </i>
    <i r="2">
      <x/>
    </i>
    <i t="blank">
      <x/>
    </i>
    <i t="grand">
      <x/>
    </i>
  </rowItems>
  <colFields count="1">
    <field x="1"/>
  </colFields>
  <colItems count="1">
    <i>
      <x/>
    </i>
  </colItems>
  <dataFields count="1">
    <dataField name="Součet z zokrouhleno" fld="23" baseField="21" baseItem="1" numFmtId="3"/>
  </dataFields>
  <formats count="2">
    <format dxfId="207">
      <pivotArea type="all" dataOnly="0" outline="0" fieldPosition="0"/>
    </format>
    <format dxfId="206">
      <pivotArea outline="0" fieldPosition="0">
        <references count="1">
          <reference field="4294967294" count="1">
            <x v="0"/>
          </reference>
        </references>
      </pivotArea>
    </format>
  </formats>
  <pivotTableStyleInfo name="PivotStyleMedium8 2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D00-000000000000}" name="Kontingenční tabulka 1" cacheId="0" applyNumberFormats="0" applyBorderFormats="0" applyFontFormats="0" applyPatternFormats="0" applyAlignmentFormats="0" applyWidthHeightFormats="1" dataCaption="Hodnoty" grandTotalCaption="Total" showError="1" updatedVersion="6" minRefreshableVersion="3" showDrill="0" useAutoFormatting="1" colGrandTotals="0" itemPrintTitles="1" createdVersion="4" indent="0" showHeaders="0" compact="0" compactData="0" multipleFieldFilters="0">
  <location ref="B5:D7" firstHeaderRow="1" firstDataRow="2" firstDataCol="2"/>
  <pivotFields count="26">
    <pivotField compact="0" outline="0" showAll="0"/>
    <pivotField axis="axisCol" compact="0" numFmtId="14" outline="0" showAll="0" sortType="descending">
      <items count="2">
        <item x="0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Row" compact="0" outline="0" showAll="0">
      <items count="2">
        <item x="0"/>
        <item t="default"/>
      </items>
    </pivotField>
    <pivotField compact="0" numFmtId="164" outline="0" showAll="0"/>
    <pivotField compact="0" outline="0" showAll="0"/>
    <pivotField compact="0" outline="0" showAll="0">
      <items count="2">
        <item x="0"/>
        <item t="default"/>
      </items>
    </pivotField>
    <pivotField compact="0" outline="0" showAll="0">
      <items count="2">
        <item x="0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 insertBlankRow="1"/>
    <pivotField compact="0" outline="0" showAll="0"/>
    <pivotField dataField="1" compact="0" numFmtId="4" outline="0" showAll="0"/>
    <pivotField compact="0" outline="0" showAll="0" defaultSubtotal="0"/>
    <pivotField axis="axisRow" compact="0" outline="0" showAll="0" insertBlankRow="1" measureFilter="1" defaultSubtotal="0">
      <items count="1">
        <item x="0"/>
      </items>
    </pivotField>
  </pivotFields>
  <rowFields count="2">
    <field x="25"/>
    <field x="8"/>
  </rowFields>
  <rowItems count="1">
    <i t="grand">
      <x/>
    </i>
  </rowItems>
  <colFields count="1">
    <field x="1"/>
  </colFields>
  <colItems count="1">
    <i>
      <x/>
    </i>
  </colItems>
  <dataFields count="1">
    <dataField name="Součet z zokrouhleno" fld="23" baseField="21" baseItem="0" numFmtId="3"/>
  </dataFields>
  <formats count="2">
    <format dxfId="205">
      <pivotArea type="all" dataOnly="0" outline="0" fieldPosition="0"/>
    </format>
    <format dxfId="204">
      <pivotArea outline="0" fieldPosition="0">
        <references count="1">
          <reference field="4294967294" count="1">
            <x v="0"/>
          </reference>
        </references>
      </pivotArea>
    </format>
  </formats>
  <pivotTableStyleInfo name="PivotStyleMedium8 2" showRowHeaders="1" showColHeaders="1" showRowStripes="0" showColStripes="0" showLastColumn="1"/>
  <filters count="1">
    <filter fld="25" type="valueNotEqual" evalOrder="-1" id="1" iMeasureFld="0">
      <autoFilter ref="A1">
        <filterColumn colId="0">
          <customFilters>
            <customFilter operator="notEqual" val="0"/>
          </customFilters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1100-000000000000}" name="Kontingenční tabulka 1" cacheId="0" applyNumberFormats="0" applyBorderFormats="0" applyFontFormats="0" applyPatternFormats="0" applyAlignmentFormats="0" applyWidthHeightFormats="1" dataCaption="Hodnoty" grandTotalCaption="Total" updatedVersion="6" minRefreshableVersion="3" showDrill="0" colGrandTotals="0" itemPrintTitles="1" createdVersion="4" indent="0" compact="0" compactData="0" multipleFieldFilters="0">
  <location ref="B6:F8" firstHeaderRow="1" firstDataRow="2" firstDataCol="4"/>
  <pivotFields count="26">
    <pivotField compact="0" outline="0"/>
    <pivotField axis="axisCol" subtotalCaption="?" compact="0" numFmtId="14" outline="0" sortType="descending">
      <items count="2">
        <item x="0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1">
        <item x="0"/>
      </items>
    </pivotField>
    <pivotField axis="axisRow" compact="0" outline="0" showAll="0">
      <items count="2">
        <item x="0"/>
        <item t="default"/>
      </items>
    </pivotField>
    <pivotField compact="0" outline="0" showAll="0"/>
    <pivotField compact="0" outline="0" showAll="0"/>
    <pivotField compact="0" outline="0" showAll="0"/>
    <pivotField dataField="1" compact="0" outline="0" showAll="0"/>
    <pivotField compact="0" outline="0" showAll="0" sortType="ascending"/>
    <pivotField compact="0" numFmtId="164" outline="0" showAll="0"/>
    <pivotField compact="0" outline="0" showAll="0"/>
    <pivotField axis="axisRow" compact="0" outline="0" showAll="0" measureFilter="1" defaultSubtotal="0">
      <items count="1"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2">
        <item x="0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Row" subtotalCaption="?" compact="0" outline="0" showAll="0">
      <items count="2">
        <item x="0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/>
    <pivotField compact="0" outline="0" showAll="0"/>
    <pivotField compact="0" outline="0" showAll="0" insertBlankRow="1" sortType="ascending"/>
    <pivotField compact="0" outline="0" showAll="0"/>
    <pivotField compact="0" numFmtId="4" outline="0" showAll="0"/>
    <pivotField compact="0" outline="0" showAll="0" defaultSubtotal="0"/>
    <pivotField compact="0" outline="0" showAll="0" defaultSubtotal="0"/>
  </pivotFields>
  <rowFields count="4">
    <field x="11"/>
    <field x="18"/>
    <field x="2"/>
    <field x="3"/>
  </rowFields>
  <rowItems count="1">
    <i t="grand">
      <x/>
    </i>
  </rowItems>
  <colFields count="1">
    <field x="1"/>
  </colFields>
  <colItems count="1">
    <i>
      <x/>
    </i>
  </colItems>
  <dataFields count="1">
    <dataField name="Součet z zustatek" fld="7" baseField="3" baseItem="168" numFmtId="3"/>
  </dataFields>
  <formats count="7">
    <format dxfId="203">
      <pivotArea type="all" dataOnly="0" outline="0" fieldPosition="0"/>
    </format>
    <format dxfId="202">
      <pivotArea dataOnly="0" outline="0" fieldPosition="0">
        <references count="1">
          <reference field="1" count="0"/>
        </references>
      </pivotArea>
    </format>
    <format dxfId="201">
      <pivotArea dataOnly="0" outline="0" fieldPosition="0">
        <references count="1">
          <reference field="1" count="0" defaultSubtotal="1"/>
        </references>
      </pivotArea>
    </format>
    <format dxfId="200">
      <pivotArea type="all" dataOnly="0" outline="0" fieldPosition="0"/>
    </format>
    <format dxfId="199">
      <pivotArea field="2" type="button" dataOnly="0" labelOnly="1" outline="0" axis="axisRow" fieldPosition="2"/>
    </format>
    <format dxfId="198">
      <pivotArea field="2" type="button" dataOnly="0" labelOnly="1" outline="0" axis="axisRow" fieldPosition="2"/>
    </format>
    <format dxfId="197">
      <pivotArea outline="0" fieldPosition="0">
        <references count="1">
          <reference field="4294967294" count="1">
            <x v="0"/>
          </reference>
        </references>
      </pivotArea>
    </format>
  </formats>
  <pivotTableStyleInfo name="PivotStyleMedium8 2 2" showRowHeaders="1" showColHeaders="1" showRowStripes="0" showColStripes="0" showLastColumn="1"/>
  <filters count="1">
    <filter fld="11" type="valueNotEqual" evalOrder="-1" id="3" iMeasureFld="0">
      <autoFilter ref="A1">
        <filterColumn colId="0">
          <customFilters>
            <customFilter operator="notEqual" val="0"/>
          </customFilters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Průřez_výkaz" xr10:uid="{00000000-0013-0000-FFFF-FFFF01000000}" sourceName="výkaz">
  <pivotTables>
    <pivotTable tabId="19" name="Kontingenční tabulka 1"/>
  </pivotTables>
  <data>
    <tabular pivotCacheId="1">
      <items count="1">
        <i x="0" s="1"/>
      </items>
    </tabular>
  </data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Průřez_část" xr10:uid="{00000000-0013-0000-FFFF-FFFF02000000}" sourceName="část">
  <pivotTables>
    <pivotTable tabId="19" name="Kontingenční tabulka 1"/>
  </pivotTables>
  <data>
    <tabular pivotCacheId="1">
      <items count="1">
        <i x="0" s="1"/>
      </items>
    </tabular>
  </data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Průřez_výkaz2" xr10:uid="{00000000-0013-0000-FFFF-FFFF07000000}" sourceName="výkaz">
  <pivotTables>
    <pivotTable tabId="27" name="Kontingenční tabulka 1"/>
  </pivotTables>
  <data>
    <tabular pivotCacheId="1">
      <items count="1">
        <i x="0" s="1" nd="1"/>
      </items>
    </tabular>
  </data>
</slicerCacheDefinition>
</file>

<file path=xl/slicerCaches/slicerCache4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Průřez_část2" xr10:uid="{00000000-0013-0000-FFFF-FFFF08000000}" sourceName="část">
  <pivotTables>
    <pivotTable tabId="27" name="Kontingenční tabulka 1"/>
  </pivotTables>
  <data>
    <tabular pivotCacheId="1">
      <items count="1">
        <i x="0" s="1" nd="1"/>
      </items>
    </tabular>
  </data>
</slicerCacheDefinition>
</file>

<file path=xl/slicerCaches/slicerCache5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Průřez_výkaz1" xr10:uid="{00000000-0013-0000-FFFF-FFFF09000000}" sourceName="výkaz">
  <pivotTables>
    <pivotTable tabId="32" name="Kontingenční tabulka 1"/>
  </pivotTables>
  <data>
    <tabular pivotCacheId="1">
      <items count="1">
        <i x="0" s="1"/>
      </items>
    </tabular>
  </data>
</slicerCacheDefinition>
</file>

<file path=xl/slicerCaches/slicerCache6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Průřez_část1" xr10:uid="{00000000-0013-0000-FFFF-FFFF0A000000}" sourceName="část">
  <pivotTables>
    <pivotTable tabId="32" name="Kontingenční tabulka 1"/>
  </pivotTables>
  <data>
    <tabular pivotCacheId="1">
      <items count="1">
        <i x="0" s="1"/>
      </items>
    </tabular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výkaz" xr10:uid="{00000000-0014-0000-FFFF-FFFF01000000}" cache="Průřez_výkaz" caption="výkaz" columnCount="3" style="CBA 01" rowHeight="180000"/>
  <slicer name="část" xr10:uid="{00000000-0014-0000-FFFF-FFFF02000000}" cache="Průřez_část" caption="část" columnCount="5" style="CBA 01" rowHeight="180000"/>
</slicers>
</file>

<file path=xl/slicers/slicer2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výkaz 1" xr10:uid="{00000000-0014-0000-FFFF-FFFF03000000}" cache="Průřez_výkaz1" caption="výkaz" columnCount="3" style="CBA 01" rowHeight="180000"/>
  <slicer name="část 1" xr10:uid="{00000000-0014-0000-FFFF-FFFF04000000}" cache="Průřez_část1" caption="část" columnCount="5" style="CBA 01" rowHeight="180000"/>
</slicers>
</file>

<file path=xl/slicers/slicer3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výkaz 2" xr10:uid="{00000000-0014-0000-FFFF-FFFF0B000000}" cache="Průřez_výkaz2" caption="výkaz" columnCount="3" style="CBA 01" rowHeight="180000"/>
  <slicer name="část 2" xr10:uid="{00000000-0014-0000-FFFF-FFFF0C000000}" cache="Průřez_část2" caption="část" columnCount="5" style="CBA 01" rowHeight="180000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data" displayName="data" ref="B1:AA200" totalsRowShown="0" headerRowDxfId="260" dataDxfId="259">
  <autoFilter ref="B1:AA200" xr:uid="{00000000-0009-0000-0100-000001000000}"/>
  <tableColumns count="26">
    <tableColumn id="24" xr3:uid="{00000000-0010-0000-0000-000018000000}" name="zdroj" dataDxfId="258"/>
    <tableColumn id="1" xr3:uid="{00000000-0010-0000-0000-000001000000}" name="datum" dataDxfId="257"/>
    <tableColumn id="2" xr3:uid="{00000000-0010-0000-0000-000002000000}" name="ucet" dataDxfId="256"/>
    <tableColumn id="3" xr3:uid="{00000000-0010-0000-0000-000003000000}" name="ucet_an_nazev" dataDxfId="255"/>
    <tableColumn id="19" xr3:uid="{00000000-0010-0000-0000-000013000000}" name="pocatecni zust" dataDxfId="254"/>
    <tableColumn id="21" xr3:uid="{00000000-0010-0000-0000-000015000000}" name="obrat MD" dataDxfId="253"/>
    <tableColumn id="22" xr3:uid="{00000000-0010-0000-0000-000016000000}" name="obrat D" dataDxfId="252"/>
    <tableColumn id="4" xr3:uid="{00000000-0010-0000-0000-000004000000}" name="zustatek" dataDxfId="251"/>
    <tableColumn id="23" xr3:uid="{00000000-0010-0000-0000-000017000000}" name="ucet_an_cislo_popis" dataDxfId="250">
      <calculatedColumnFormula>CONCATENATE(D2," ",E2)</calculatedColumnFormula>
    </tableColumn>
    <tableColumn id="5" xr3:uid="{00000000-0010-0000-0000-000005000000}" name="uc_synt" dataDxfId="249">
      <calculatedColumnFormula>IF(I2=0,"-",VALUE(LEFT(D2,LEN(D2)-(INDEX!$E$13-3))))</calculatedColumnFormula>
    </tableColumn>
    <tableColumn id="13" xr3:uid="{00000000-0010-0000-0000-00000D000000}" name="uc_synt_popis" dataDxfId="248">
      <calculatedColumnFormula>IF(I2=0,"-",VLOOKUP(K2,ucty_synt!A:B,2,0))</calculatedColumnFormula>
    </tableColumn>
    <tableColumn id="6" xr3:uid="{00000000-0010-0000-0000-000006000000}" name="výkaz" dataDxfId="247">
      <calculatedColumnFormula>IF(S2="-","-",VLOOKUP(K2,ucty_synt!A:S,3,0))</calculatedColumnFormula>
    </tableColumn>
    <tableColumn id="18" xr3:uid="{00000000-0010-0000-0000-000012000000}" name="část" dataDxfId="246">
      <calculatedColumnFormula>IF(I2=0,"-",IF(M2="Rozvaha",VLOOKUP(S2,'radky_R'!A:O,6,0),IF(M2="Výsledovka",VLOOKUP(S2,'radky_V'!A:M,6,0),"-")))</calculatedColumnFormula>
    </tableColumn>
    <tableColumn id="7" xr3:uid="{00000000-0010-0000-0000-000007000000}" name="ř_auto" dataDxfId="245">
      <calculatedColumnFormula>IF(I2=0,"-",IF(COUNTIF(ucty_synt!A:A,K2)=0,"účet n/a",IF(VLOOKUP(K2,ucty_synt!A:S,4,0)=RIGHT($P$1,5),"podle AÚ",IF(VLOOKUP(K2,ucty_synt!A:S,4,0)=RIGHT($Q$1,5),"podle SÚ",IF(SUMIF(ucty_synt!A:A,K2,ucty_synt!E:E)&lt;&gt;0,VLOOKUP(K2,ucty_synt!A:T,5,0),"doplnit")))))</calculatedColumnFormula>
    </tableColumn>
    <tableColumn id="8" xr3:uid="{00000000-0010-0000-0000-000008000000}" name="ř_A/P a" dataDxfId="244">
      <calculatedColumnFormula>IF(I2=0,"-",IF(VLOOKUP(K2,ucty_synt!A:S,4,0)=RIGHT($P$1,5),IF(SUMIFS(I:I,C:C,C2,D:D,D2)&gt;=0,VLOOKUP(K2,ucty_synt!A:E,5,0),VLOOKUP(K2,ucty_synt!A:L,12,0)),"-"))</calculatedColumnFormula>
    </tableColumn>
    <tableColumn id="9" xr3:uid="{00000000-0010-0000-0000-000009000000}" name="ř_A/P s" dataDxfId="243">
      <calculatedColumnFormula>IF(I2=0,"-",IF(VLOOKUP(K2,ucty_synt!A:S,4,0)=RIGHT($Q$1,5),IF(SUMIFS(I:I,C:C,C2,K:K,K2)&gt;=0,VLOOKUP(K2,ucty_synt!A:E,5,0),VLOOKUP(K2,ucty_synt!A:L,12,0)),"-"))</calculatedColumnFormula>
    </tableColumn>
    <tableColumn id="10" xr3:uid="{00000000-0010-0000-0000-00000A000000}" name="ř_ručně" dataDxfId="242" dataCellStyle="Normální 2"/>
    <tableColumn id="11" xr3:uid="{00000000-0010-0000-0000-00000B000000}" name="ř_final" dataDxfId="241">
      <calculatedColumnFormula>IF(ISNUMBER(R2),R2,IF(ISNUMBER(Q2),Q2,IF(ISNUMBER(P2),P2,IF(ISNUMBER(O2),O2,"-"))))</calculatedColumnFormula>
    </tableColumn>
    <tableColumn id="12" xr3:uid="{00000000-0010-0000-0000-00000C000000}" name="ř_číslo_popis" dataDxfId="240">
      <calculatedColumnFormula>IF(S2="-","-",IF(M2="Rozvaha",VLOOKUP(S2,'radky_R'!A:O,14,0),IF(M2="Výsledovka",VLOOKUP(S2,'radky_V'!A:M,12,0),"-")))</calculatedColumnFormula>
    </tableColumn>
    <tableColumn id="14" xr3:uid="{00000000-0010-0000-0000-00000E000000}" name="id_1" dataDxfId="239">
      <calculatedColumnFormula>IF(I2=0,"-",IF(M2="Rozvaha",VLOOKUP(S2,'radky_R'!A:O,8,0),IF(M2="Výsledovka",VLOOKUP(S2,'radky_V'!A:M,8,0),"-")))</calculatedColumnFormula>
    </tableColumn>
    <tableColumn id="15" xr3:uid="{00000000-0010-0000-0000-00000F000000}" name="id_2" dataDxfId="238">
      <calculatedColumnFormula>IF(I2=0,"-",IF(M2="Rozvaha",VLOOKUP(S2,'radky_R'!A:O,9,0),IF(M2="Výsledovka",VLOOKUP(S2,'radky_V'!A:M,9,0),"-")))</calculatedColumnFormula>
    </tableColumn>
    <tableColumn id="20" xr3:uid="{00000000-0010-0000-0000-000014000000}" name="id_skupina" dataDxfId="237">
      <calculatedColumnFormula>IF(I2=0,"-",IF(M2="Rozvaha",VLOOKUP(S2,'radky_R'!A:O,15,0),IF(M2="Výsledovka",VLOOKUP(S2,'radky_V'!A:M,11,0),"-")))</calculatedColumnFormula>
    </tableColumn>
    <tableColumn id="16" xr3:uid="{00000000-0010-0000-0000-000010000000}" name="typ sloupce" dataDxfId="236">
      <calculatedColumnFormula>IF(I2=0,"-",VLOOKUP(K2,ucty_synt!A:S,19,0))</calculatedColumnFormula>
    </tableColumn>
    <tableColumn id="17" xr3:uid="{00000000-0010-0000-0000-000011000000}" name="zokrouhleno" dataDxfId="235">
      <calculatedColumnFormula>I2/zaokr</calculatedColumnFormula>
    </tableColumn>
    <tableColumn id="25" xr3:uid="{00000000-0010-0000-0000-000019000000}" name="proces default" dataDxfId="234">
      <calculatedColumnFormula>IF(data[[#This Row],[uc_synt]]="-","-",VLOOKUP(data[[#This Row],[uc_synt]],ucty_synt!A:T,20,0))</calculatedColumnFormula>
    </tableColumn>
    <tableColumn id="26" xr3:uid="{00000000-0010-0000-0000-00001A000000}" name="proces final" dataDxfId="233">
      <calculatedColumnFormula>IF(COUNTIF(proc_exc!A:A,data[[#This Row],[ucet]])&gt;1,"chyba v proc_exc!",IF(COUNTIF(proc_exc!A:A,data[[#This Row],[ucet]])=1,VLOOKUP(data[[#This Row],[ucet]],proc_exc!A:E,5,0),data[[#This Row],[proces default]]))</calculatedColumnFormula>
    </tableColumn>
  </tableColumns>
  <tableStyleInfo name="data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1000000}" name="Tabulka6" displayName="Tabulka6" ref="A1:F6" totalsRowShown="0" headerRowDxfId="232" dataDxfId="231">
  <autoFilter ref="A1:F6" xr:uid="{00000000-0009-0000-0100-000006000000}"/>
  <tableColumns count="6">
    <tableColumn id="1" xr3:uid="{00000000-0010-0000-0100-000001000000}" name="ucet" dataDxfId="230"/>
    <tableColumn id="2" xr3:uid="{00000000-0010-0000-0100-000002000000}" name="ucet_an_nazev" dataDxfId="229">
      <calculatedColumnFormula>VLOOKUP(A2,DATA!D:E,2,0)</calculatedColumnFormula>
    </tableColumn>
    <tableColumn id="3" xr3:uid="{00000000-0010-0000-0100-000003000000}" name="uc_synt" dataDxfId="228">
      <calculatedColumnFormula>VALUE(LEFT(A2,LEN(A2)-(INDEX!$E$13-3)))</calculatedColumnFormula>
    </tableColumn>
    <tableColumn id="4" xr3:uid="{00000000-0010-0000-0100-000004000000}" name="proces default" dataDxfId="227">
      <calculatedColumnFormula>VLOOKUP(C2,ucty_synt!A:T,16,0)</calculatedColumnFormula>
    </tableColumn>
    <tableColumn id="5" xr3:uid="{00000000-0010-0000-0100-000005000000}" name="proces final" dataDxfId="226"/>
    <tableColumn id="6" xr3:uid="{00000000-0010-0000-0100-000006000000}" name="kontrola" dataDxfId="225">
      <calculatedColumnFormula>IF(COUNTIF(A:A,Tabulka6[[#This Row],[ucet]])=1,"ok",IF(COUNTIF(A:A,Tabulka6[[#This Row],[ucet]])&gt;1,"vícenásobný","chybí účet"))</calculatedColumnFormula>
    </tableColumn>
  </tableColumns>
  <tableStyleInfo name="master data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5000000}" name="radky_R" displayName="radky_R" ref="A1:O143" totalsRowShown="0" headerRowDxfId="224" dataDxfId="223">
  <autoFilter ref="A1:O143" xr:uid="{00000000-0009-0000-0100-000003000000}"/>
  <sortState xmlns:xlrd2="http://schemas.microsoft.com/office/spreadsheetml/2017/richdata2" ref="A2:O143">
    <sortCondition ref="A1:A143"/>
  </sortState>
  <tableColumns count="15">
    <tableColumn id="1" xr3:uid="{00000000-0010-0000-0500-000001000000}" name="řád" dataDxfId="222"/>
    <tableColumn id="2" xr3:uid="{00000000-0010-0000-0500-000002000000}" name="cz název" dataDxfId="221"/>
    <tableColumn id="3" xr3:uid="{00000000-0010-0000-0500-000003000000}" name="en název" dataDxfId="220"/>
    <tableColumn id="4" xr3:uid="{00000000-0010-0000-0500-000004000000}" name="de název" dataDxfId="219"/>
    <tableColumn id="5" xr3:uid="{00000000-0010-0000-0500-000005000000}" name="výkaz" dataDxfId="218"/>
    <tableColumn id="6" xr3:uid="{00000000-0010-0000-0500-000006000000}" name="část" dataDxfId="217"/>
    <tableColumn id="7" xr3:uid="{00000000-0010-0000-0500-000007000000}" name="zaokr" dataDxfId="216"/>
    <tableColumn id="8" xr3:uid="{00000000-0010-0000-0500-000008000000}" name="id_1" dataDxfId="215"/>
    <tableColumn id="9" xr3:uid="{00000000-0010-0000-0500-000009000000}" name="id_2" dataDxfId="214"/>
    <tableColumn id="10" xr3:uid="{00000000-0010-0000-0500-00000A000000}" name="id_3" dataDxfId="213"/>
    <tableColumn id="14" xr3:uid="{00000000-0010-0000-0500-00000E000000}" name="id_4" dataDxfId="212"/>
    <tableColumn id="15" xr3:uid="{00000000-0010-0000-0500-00000F000000}" name="id_5" dataDxfId="211"/>
    <tableColumn id="11" xr3:uid="{00000000-0010-0000-0500-00000B000000}" name="id_skupina" dataDxfId="210">
      <calculatedColumnFormula>IF(AND(H2=0,I2=0,J2=0),"-",IF(A2=2,CONCATENATE(H2,I2," ",B2),IF(ISBLANK(H1),CONCATENATE(H2,I2," ",B1),M1)))</calculatedColumnFormula>
    </tableColumn>
    <tableColumn id="12" xr3:uid="{00000000-0010-0000-0500-00000C000000}" name="řád + řádek" dataDxfId="209">
      <calculatedColumnFormula>IF(ISBLANK(H2),"-",CONCATENATE(TEXT(A2,"000")," ",B2))</calculatedColumnFormula>
    </tableColumn>
    <tableColumn id="13" xr3:uid="{00000000-0010-0000-0500-00000D000000}" name="řádek výkazu" dataDxfId="208">
      <calculatedColumnFormula>IF(jazyk="česky",B2,IF(jazyk="anglicky",C2,IF(jazyk="německy",D2,"-")))</calculatedColumnFormula>
    </tableColumn>
  </tableColumns>
  <tableStyleInfo name="master data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4000000}" name="ucty_synt" displayName="ucty_synt" ref="A1:T348" totalsRowShown="0" headerRowDxfId="196" dataDxfId="195">
  <autoFilter ref="A1:T348" xr:uid="{00000000-0009-0000-0100-000002000000}"/>
  <tableColumns count="20">
    <tableColumn id="1" xr3:uid="{00000000-0010-0000-0400-000001000000}" name="ucet_synt" dataDxfId="194"/>
    <tableColumn id="2" xr3:uid="{00000000-0010-0000-0400-000002000000}" name="ucet_synt_nazev" dataDxfId="193"/>
    <tableColumn id="3" xr3:uid="{00000000-0010-0000-0400-000003000000}" name="výkaz" dataDxfId="192"/>
    <tableColumn id="4" xr3:uid="{00000000-0010-0000-0400-000004000000}" name="typ" dataDxfId="191"/>
    <tableColumn id="5" xr3:uid="{00000000-0010-0000-0400-000005000000}" name="a řád" dataDxfId="190"/>
    <tableColumn id="6" xr3:uid="{00000000-0010-0000-0400-000006000000}" name="a1" dataDxfId="189"/>
    <tableColumn id="7" xr3:uid="{00000000-0010-0000-0400-000007000000}" name="a2" dataDxfId="188"/>
    <tableColumn id="8" xr3:uid="{00000000-0010-0000-0400-000008000000}" name="a3" dataDxfId="187"/>
    <tableColumn id="17" xr3:uid="{00000000-0010-0000-0400-000011000000}" name="a4" dataDxfId="186"/>
    <tableColumn id="19" xr3:uid="{00000000-0010-0000-0400-000013000000}" name="a5" dataDxfId="185"/>
    <tableColumn id="9" xr3:uid="{00000000-0010-0000-0400-000009000000}" name="a název" dataDxfId="184">
      <calculatedColumnFormula>IF(ISBLANK(E2),"ručně doplnit",IF(E2="-","není ve výkazech",IF(C2="Rozvaha",VLOOKUP(E2,'radky_R'!$A:$B,2,0),IF(C2="Výsledovka",VLOOKUP(E2,'radky_V'!A:M,2,0)))))</calculatedColumnFormula>
    </tableColumn>
    <tableColumn id="10" xr3:uid="{00000000-0010-0000-0400-00000A000000}" name="alt řád" dataDxfId="183"/>
    <tableColumn id="11" xr3:uid="{00000000-0010-0000-0400-00000B000000}" name="alt 1" dataDxfId="182"/>
    <tableColumn id="12" xr3:uid="{00000000-0010-0000-0400-00000C000000}" name="alt 2" dataDxfId="181"/>
    <tableColumn id="13" xr3:uid="{00000000-0010-0000-0400-00000D000000}" name="alt 3" dataDxfId="180"/>
    <tableColumn id="18" xr3:uid="{00000000-0010-0000-0400-000012000000}" name="alt 4" dataDxfId="179"/>
    <tableColumn id="20" xr3:uid="{00000000-0010-0000-0400-000014000000}" name="alt 5" dataDxfId="178"/>
    <tableColumn id="14" xr3:uid="{00000000-0010-0000-0400-00000E000000}" name="p název" dataDxfId="177">
      <calculatedColumnFormula>IF(ISBLANK(L2),"není alternativa",IF(L2="-","není ve výkazech",VLOOKUP(L2,'radky_R'!$A:$B,2,0)))</calculatedColumnFormula>
    </tableColumn>
    <tableColumn id="15" xr3:uid="{00000000-0010-0000-0400-00000F000000}" name="sloupec" dataDxfId="176"/>
    <tableColumn id="16" xr3:uid="{00000000-0010-0000-0400-000010000000}" name="proces" dataDxfId="175"/>
  </tableColumns>
  <tableStyleInfo name="master data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6000000}" name="radky_V" displayName="radky_V" ref="A1:M57" totalsRowShown="0" headerRowDxfId="174" dataDxfId="173">
  <autoFilter ref="A1:M57" xr:uid="{00000000-0009-0000-0100-000004000000}"/>
  <tableColumns count="13">
    <tableColumn id="1" xr3:uid="{00000000-0010-0000-0600-000001000000}" name="řád" dataDxfId="172"/>
    <tableColumn id="2" xr3:uid="{00000000-0010-0000-0600-000002000000}" name="cz název" dataDxfId="171"/>
    <tableColumn id="3" xr3:uid="{00000000-0010-0000-0600-000003000000}" name="en název" dataDxfId="170"/>
    <tableColumn id="4" xr3:uid="{00000000-0010-0000-0600-000004000000}" name="de název" dataDxfId="169"/>
    <tableColumn id="5" xr3:uid="{00000000-0010-0000-0600-000005000000}" name="výkaz" dataDxfId="168"/>
    <tableColumn id="6" xr3:uid="{00000000-0010-0000-0600-000006000000}" name="část Výnosy" dataDxfId="167"/>
    <tableColumn id="7" xr3:uid="{00000000-0010-0000-0600-000007000000}" name="zaokr" dataDxfId="166"/>
    <tableColumn id="8" xr3:uid="{00000000-0010-0000-0600-000008000000}" name="a1" dataDxfId="165"/>
    <tableColumn id="9" xr3:uid="{00000000-0010-0000-0600-000009000000}" name="a2" dataDxfId="164"/>
    <tableColumn id="10" xr3:uid="{00000000-0010-0000-0600-00000A000000}" name="a3" dataDxfId="163"/>
    <tableColumn id="11" xr3:uid="{00000000-0010-0000-0600-00000B000000}" name="část a2" dataDxfId="162"/>
    <tableColumn id="12" xr3:uid="{00000000-0010-0000-0600-00000C000000}" name="řád + řádek" dataDxfId="161">
      <calculatedColumnFormula>IF(ISBLANK(G2),"-",CONCATENATE(TEXT(A2,"000")," ",B2))</calculatedColumnFormula>
    </tableColumn>
    <tableColumn id="13" xr3:uid="{00000000-0010-0000-0600-00000D000000}" name="řádek v jazyku výkazu výkazu" dataDxfId="160">
      <calculatedColumnFormula>IF(jazyk="česky",B2,IF(jazyk="anglicky",C2,IF(jazyk="německy",D2,"-")))</calculatedColumnFormula>
    </tableColumn>
  </tableColumns>
  <tableStyleInfo name="master data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7000000}" name="radky_CF" displayName="radky_CF" ref="A1:K41" totalsRowShown="0" headerRowDxfId="159" dataDxfId="158">
  <autoFilter ref="A1:K41" xr:uid="{00000000-0009-0000-0100-000005000000}"/>
  <tableColumns count="11">
    <tableColumn id="1" xr3:uid="{00000000-0010-0000-0700-000001000000}" name="řád" dataDxfId="157"/>
    <tableColumn id="2" xr3:uid="{00000000-0010-0000-0700-000002000000}" name="cz název" dataDxfId="156"/>
    <tableColumn id="3" xr3:uid="{00000000-0010-0000-0700-000003000000}" name="en název" dataDxfId="155"/>
    <tableColumn id="4" xr3:uid="{00000000-0010-0000-0700-000004000000}" name="de název" dataDxfId="154"/>
    <tableColumn id="5" xr3:uid="{00000000-0010-0000-0700-000005000000}" name="výkaz" dataDxfId="153"/>
    <tableColumn id="6" xr3:uid="{00000000-0010-0000-0700-000006000000}" name="část" dataDxfId="152"/>
    <tableColumn id="8" xr3:uid="{00000000-0010-0000-0700-000008000000}" name="id_1" dataDxfId="151"/>
    <tableColumn id="9" xr3:uid="{00000000-0010-0000-0700-000009000000}" name="id_2" dataDxfId="150"/>
    <tableColumn id="10" xr3:uid="{00000000-0010-0000-0700-00000A000000}" name="id_3" dataDxfId="149"/>
    <tableColumn id="11" xr3:uid="{00000000-0010-0000-0700-00000B000000}" name="id_4" dataDxfId="148"/>
    <tableColumn id="14" xr3:uid="{00000000-0010-0000-0700-00000E000000}" name="řádek výkazu" dataDxfId="147">
      <calculatedColumnFormula>IF(jazyk="česky",B2,IF(jazyk="anglicky",C2,IF(jazyk="německy",D2,"-")))</calculatedColumnFormula>
    </tableColumn>
  </tableColumns>
  <tableStyleInfo name="master data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10.bin"/><Relationship Id="rId1" Type="http://schemas.openxmlformats.org/officeDocument/2006/relationships/pivotTable" Target="../pivotTables/pivotTable1.xml"/><Relationship Id="rId5" Type="http://schemas.microsoft.com/office/2007/relationships/slicer" Target="../slicers/slicer1.xml"/><Relationship Id="rId4" Type="http://schemas.openxmlformats.org/officeDocument/2006/relationships/vmlDrawing" Target="../drawings/vmlDrawing8.v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11.bin"/><Relationship Id="rId1" Type="http://schemas.openxmlformats.org/officeDocument/2006/relationships/pivotTable" Target="../pivotTables/pivotTable2.xml"/><Relationship Id="rId5" Type="http://schemas.microsoft.com/office/2007/relationships/slicer" Target="../slicers/slicer2.xml"/><Relationship Id="rId4" Type="http://schemas.openxmlformats.org/officeDocument/2006/relationships/vmlDrawing" Target="../drawings/vmlDrawing9.v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5.xml"/><Relationship Id="rId2" Type="http://schemas.openxmlformats.org/officeDocument/2006/relationships/printerSettings" Target="../printerSettings/printerSettings12.bin"/><Relationship Id="rId1" Type="http://schemas.openxmlformats.org/officeDocument/2006/relationships/pivotTable" Target="../pivotTables/pivotTable3.xml"/><Relationship Id="rId5" Type="http://schemas.microsoft.com/office/2007/relationships/slicer" Target="../slicers/slicer3.xml"/><Relationship Id="rId4" Type="http://schemas.openxmlformats.org/officeDocument/2006/relationships/vmlDrawing" Target="../drawings/vmlDrawing10.v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8.bin"/><Relationship Id="rId4" Type="http://schemas.openxmlformats.org/officeDocument/2006/relationships/image" Target="../media/image8.p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outlinePr summaryBelow="0" summaryRight="0"/>
    <pageSetUpPr fitToPage="1"/>
  </sheetPr>
  <dimension ref="B1:I116"/>
  <sheetViews>
    <sheetView showGridLines="0" showRowColHeaders="0" zoomScale="115" zoomScaleNormal="115" workbookViewId="0">
      <selection activeCell="B1" sqref="B1"/>
    </sheetView>
  </sheetViews>
  <sheetFormatPr defaultColWidth="9.109375" defaultRowHeight="13.8" outlineLevelRow="1" x14ac:dyDescent="0.3"/>
  <cols>
    <col min="1" max="1" width="1.6640625" style="39" customWidth="1"/>
    <col min="2" max="2" width="96.33203125" style="144" customWidth="1"/>
    <col min="3" max="3" width="9.109375" style="39" customWidth="1"/>
    <col min="4" max="7" width="9.109375" style="39"/>
    <col min="8" max="8" width="9.109375" style="40"/>
    <col min="9" max="9" width="2.109375" style="39" customWidth="1"/>
    <col min="10" max="16384" width="9.109375" style="39"/>
  </cols>
  <sheetData>
    <row r="1" spans="2:9" ht="18" x14ac:dyDescent="0.3">
      <c r="B1" s="42" t="s">
        <v>535</v>
      </c>
      <c r="C1" s="41"/>
      <c r="D1" s="41"/>
      <c r="E1" s="41"/>
      <c r="F1" s="41"/>
      <c r="G1" s="41"/>
      <c r="H1" s="41"/>
      <c r="I1" s="41"/>
    </row>
    <row r="2" spans="2:9" x14ac:dyDescent="0.3">
      <c r="H2" s="39"/>
    </row>
    <row r="3" spans="2:9" x14ac:dyDescent="0.3">
      <c r="B3" s="765" t="s">
        <v>536</v>
      </c>
      <c r="C3" s="765"/>
      <c r="D3" s="765"/>
      <c r="E3" s="765"/>
      <c r="F3" s="765"/>
      <c r="G3" s="765"/>
      <c r="H3" s="765"/>
      <c r="I3" s="765"/>
    </row>
    <row r="4" spans="2:9" x14ac:dyDescent="0.3">
      <c r="B4" s="144" t="s">
        <v>537</v>
      </c>
      <c r="H4" s="39"/>
    </row>
    <row r="5" spans="2:9" x14ac:dyDescent="0.3">
      <c r="B5" s="144" t="s">
        <v>538</v>
      </c>
      <c r="H5" s="39"/>
    </row>
    <row r="6" spans="2:9" x14ac:dyDescent="0.3">
      <c r="B6" s="144" t="s">
        <v>539</v>
      </c>
      <c r="H6" s="39"/>
    </row>
    <row r="7" spans="2:9" x14ac:dyDescent="0.3">
      <c r="B7" s="144" t="s">
        <v>540</v>
      </c>
      <c r="H7" s="39"/>
    </row>
    <row r="8" spans="2:9" x14ac:dyDescent="0.3">
      <c r="B8" s="144" t="s">
        <v>541</v>
      </c>
      <c r="H8" s="39"/>
    </row>
    <row r="9" spans="2:9" x14ac:dyDescent="0.3">
      <c r="B9" s="144" t="s">
        <v>542</v>
      </c>
      <c r="H9" s="39"/>
    </row>
    <row r="10" spans="2:9" x14ac:dyDescent="0.3">
      <c r="H10" s="39"/>
    </row>
    <row r="11" spans="2:9" ht="27" customHeight="1" x14ac:dyDescent="0.3">
      <c r="B11" s="766" t="s">
        <v>562</v>
      </c>
      <c r="C11" s="766"/>
      <c r="D11" s="766"/>
      <c r="E11" s="766"/>
      <c r="F11" s="766"/>
      <c r="G11" s="766"/>
      <c r="H11" s="766"/>
    </row>
    <row r="13" spans="2:9" ht="15.6" collapsed="1" x14ac:dyDescent="0.3">
      <c r="B13" s="43" t="str">
        <f>B4</f>
        <v>1. Vyplnění základní identifikačních údajů účetní jednotky.</v>
      </c>
      <c r="C13" s="37"/>
      <c r="D13" s="37"/>
      <c r="E13" s="37"/>
      <c r="F13" s="37"/>
      <c r="G13" s="37"/>
      <c r="H13" s="38" t="s">
        <v>543</v>
      </c>
      <c r="I13" s="37"/>
    </row>
    <row r="14" spans="2:9" hidden="1" outlineLevel="1" x14ac:dyDescent="0.3">
      <c r="B14" s="44"/>
    </row>
    <row r="15" spans="2:9" hidden="1" outlineLevel="1" x14ac:dyDescent="0.3">
      <c r="B15" s="44" t="s">
        <v>544</v>
      </c>
    </row>
    <row r="16" spans="2:9" hidden="1" outlineLevel="1" x14ac:dyDescent="0.3">
      <c r="B16" s="44"/>
    </row>
    <row r="17" spans="2:9" ht="27.6" hidden="1" outlineLevel="1" x14ac:dyDescent="0.3">
      <c r="B17" s="44" t="s">
        <v>589</v>
      </c>
    </row>
    <row r="18" spans="2:9" hidden="1" outlineLevel="1" x14ac:dyDescent="0.3">
      <c r="B18" s="44"/>
    </row>
    <row r="19" spans="2:9" hidden="1" outlineLevel="1" x14ac:dyDescent="0.3">
      <c r="B19" s="44" t="s">
        <v>545</v>
      </c>
    </row>
    <row r="20" spans="2:9" ht="27.6" hidden="1" outlineLevel="1" x14ac:dyDescent="0.3">
      <c r="B20" s="44" t="s">
        <v>546</v>
      </c>
    </row>
    <row r="21" spans="2:9" ht="27.6" hidden="1" outlineLevel="1" x14ac:dyDescent="0.3">
      <c r="B21" s="45" t="s">
        <v>590</v>
      </c>
    </row>
    <row r="22" spans="2:9" hidden="1" outlineLevel="1" x14ac:dyDescent="0.3">
      <c r="B22" s="44"/>
    </row>
    <row r="23" spans="2:9" hidden="1" outlineLevel="1" x14ac:dyDescent="0.3">
      <c r="B23" s="44" t="s">
        <v>547</v>
      </c>
    </row>
    <row r="24" spans="2:9" ht="27.6" hidden="1" outlineLevel="1" x14ac:dyDescent="0.3">
      <c r="B24" s="45" t="s">
        <v>591</v>
      </c>
    </row>
    <row r="25" spans="2:9" hidden="1" outlineLevel="1" x14ac:dyDescent="0.3">
      <c r="B25" s="44"/>
    </row>
    <row r="26" spans="2:9" ht="41.4" hidden="1" outlineLevel="1" x14ac:dyDescent="0.3">
      <c r="B26" s="44" t="s">
        <v>621</v>
      </c>
    </row>
    <row r="28" spans="2:9" ht="15.6" collapsed="1" x14ac:dyDescent="0.3">
      <c r="B28" s="43" t="str">
        <f>B5</f>
        <v>2. Vložení obratové předvahy za vybraná období.</v>
      </c>
      <c r="C28" s="37"/>
      <c r="D28" s="37"/>
      <c r="E28" s="37"/>
      <c r="F28" s="37"/>
      <c r="G28" s="37"/>
      <c r="H28" s="38" t="s">
        <v>550</v>
      </c>
      <c r="I28" s="37"/>
    </row>
    <row r="29" spans="2:9" hidden="1" outlineLevel="1" x14ac:dyDescent="0.3">
      <c r="B29" s="44"/>
    </row>
    <row r="30" spans="2:9" hidden="1" outlineLevel="1" x14ac:dyDescent="0.3">
      <c r="B30" s="46" t="s">
        <v>593</v>
      </c>
    </row>
    <row r="31" spans="2:9" hidden="1" outlineLevel="1" x14ac:dyDescent="0.3">
      <c r="B31" s="48" t="s">
        <v>594</v>
      </c>
    </row>
    <row r="32" spans="2:9" ht="41.4" hidden="1" outlineLevel="1" x14ac:dyDescent="0.3">
      <c r="B32" s="102" t="s">
        <v>600</v>
      </c>
    </row>
    <row r="33" spans="2:9" hidden="1" outlineLevel="1" x14ac:dyDescent="0.3">
      <c r="B33" s="102" t="s">
        <v>599</v>
      </c>
    </row>
    <row r="34" spans="2:9" hidden="1" outlineLevel="1" x14ac:dyDescent="0.3">
      <c r="B34" s="102" t="s">
        <v>598</v>
      </c>
    </row>
    <row r="35" spans="2:9" hidden="1" outlineLevel="1" x14ac:dyDescent="0.3">
      <c r="B35" s="102" t="s">
        <v>597</v>
      </c>
    </row>
    <row r="36" spans="2:9" hidden="1" outlineLevel="1" x14ac:dyDescent="0.3">
      <c r="B36" s="102" t="s">
        <v>596</v>
      </c>
    </row>
    <row r="37" spans="2:9" hidden="1" outlineLevel="1" x14ac:dyDescent="0.3">
      <c r="B37" s="48" t="s">
        <v>595</v>
      </c>
    </row>
    <row r="38" spans="2:9" ht="38.25" hidden="1" customHeight="1" outlineLevel="1" x14ac:dyDescent="0.3">
      <c r="B38" s="44"/>
    </row>
    <row r="39" spans="2:9" hidden="1" outlineLevel="1" x14ac:dyDescent="0.3">
      <c r="B39" s="142" t="s">
        <v>612</v>
      </c>
    </row>
    <row r="40" spans="2:9" hidden="1" outlineLevel="1" x14ac:dyDescent="0.3">
      <c r="B40" s="142" t="s">
        <v>592</v>
      </c>
    </row>
    <row r="41" spans="2:9" hidden="1" outlineLevel="1" x14ac:dyDescent="0.3">
      <c r="B41" s="44"/>
    </row>
    <row r="42" spans="2:9" hidden="1" outlineLevel="1" x14ac:dyDescent="0.3">
      <c r="B42" s="44" t="s">
        <v>565</v>
      </c>
    </row>
    <row r="43" spans="2:9" hidden="1" outlineLevel="1" x14ac:dyDescent="0.3">
      <c r="B43" s="45" t="s">
        <v>551</v>
      </c>
    </row>
    <row r="44" spans="2:9" hidden="1" outlineLevel="1" x14ac:dyDescent="0.3">
      <c r="B44" s="45" t="s">
        <v>552</v>
      </c>
    </row>
    <row r="45" spans="2:9" hidden="1" outlineLevel="1" x14ac:dyDescent="0.3">
      <c r="B45" s="44"/>
    </row>
    <row r="46" spans="2:9" hidden="1" outlineLevel="1" x14ac:dyDescent="0.3">
      <c r="B46" s="46" t="s">
        <v>553</v>
      </c>
    </row>
    <row r="48" spans="2:9" ht="15.6" collapsed="1" x14ac:dyDescent="0.3">
      <c r="B48" s="43" t="str">
        <f>B6</f>
        <v>3. Doplnění nestandardních úprav a tzv. reklasifikací.</v>
      </c>
      <c r="C48" s="37"/>
      <c r="D48" s="37"/>
      <c r="E48" s="37"/>
      <c r="F48" s="37"/>
      <c r="G48" s="37"/>
      <c r="H48" s="38" t="s">
        <v>550</v>
      </c>
      <c r="I48" s="37"/>
    </row>
    <row r="49" spans="2:9" hidden="1" outlineLevel="1" x14ac:dyDescent="0.3">
      <c r="B49" s="44"/>
    </row>
    <row r="50" spans="2:9" hidden="1" outlineLevel="1" x14ac:dyDescent="0.3">
      <c r="B50" s="46" t="s">
        <v>563</v>
      </c>
    </row>
    <row r="51" spans="2:9" hidden="1" outlineLevel="1" x14ac:dyDescent="0.3">
      <c r="B51" s="46" t="s">
        <v>564</v>
      </c>
    </row>
    <row r="52" spans="2:9" hidden="1" outlineLevel="1" x14ac:dyDescent="0.3">
      <c r="B52" s="46"/>
    </row>
    <row r="53" spans="2:9" hidden="1" outlineLevel="1" x14ac:dyDescent="0.3">
      <c r="B53" s="46" t="s">
        <v>554</v>
      </c>
    </row>
    <row r="54" spans="2:9" hidden="1" outlineLevel="1" x14ac:dyDescent="0.3">
      <c r="B54" s="46" t="s">
        <v>555</v>
      </c>
    </row>
    <row r="55" spans="2:9" hidden="1" outlineLevel="1" x14ac:dyDescent="0.3">
      <c r="B55" s="46" t="s">
        <v>556</v>
      </c>
    </row>
    <row r="56" spans="2:9" hidden="1" outlineLevel="1" x14ac:dyDescent="0.3">
      <c r="B56" s="46" t="s">
        <v>557</v>
      </c>
    </row>
    <row r="57" spans="2:9" hidden="1" outlineLevel="1" x14ac:dyDescent="0.3">
      <c r="B57" s="46" t="s">
        <v>558</v>
      </c>
    </row>
    <row r="58" spans="2:9" hidden="1" outlineLevel="1" x14ac:dyDescent="0.3">
      <c r="B58" s="47" t="s">
        <v>559</v>
      </c>
    </row>
    <row r="60" spans="2:9" ht="15.6" collapsed="1" x14ac:dyDescent="0.3">
      <c r="B60" s="43" t="str">
        <f>B7</f>
        <v>4. Ruční přiřazení vybraných účtů do řádků účetních výkazů.</v>
      </c>
      <c r="C60" s="37"/>
      <c r="D60" s="37"/>
      <c r="E60" s="37"/>
      <c r="F60" s="37"/>
      <c r="G60" s="37"/>
      <c r="H60" s="38" t="s">
        <v>550</v>
      </c>
      <c r="I60" s="37"/>
    </row>
    <row r="61" spans="2:9" hidden="1" outlineLevel="1" x14ac:dyDescent="0.3">
      <c r="B61" s="44"/>
    </row>
    <row r="62" spans="2:9" hidden="1" outlineLevel="1" x14ac:dyDescent="0.3">
      <c r="B62" s="46" t="s">
        <v>560</v>
      </c>
    </row>
    <row r="63" spans="2:9" hidden="1" outlineLevel="1" x14ac:dyDescent="0.3">
      <c r="B63" s="46" t="s">
        <v>561</v>
      </c>
    </row>
    <row r="64" spans="2:9" hidden="1" outlineLevel="1" x14ac:dyDescent="0.3">
      <c r="B64" s="49" t="s">
        <v>567</v>
      </c>
    </row>
    <row r="65" spans="2:9" hidden="1" outlineLevel="1" x14ac:dyDescent="0.3">
      <c r="B65" s="48" t="s">
        <v>601</v>
      </c>
    </row>
    <row r="66" spans="2:9" hidden="1" outlineLevel="1" x14ac:dyDescent="0.3">
      <c r="B66" s="48" t="s">
        <v>566</v>
      </c>
    </row>
    <row r="67" spans="2:9" hidden="1" outlineLevel="1" x14ac:dyDescent="0.3">
      <c r="B67" s="46"/>
    </row>
    <row r="68" spans="2:9" hidden="1" outlineLevel="1" x14ac:dyDescent="0.3">
      <c r="B68" s="46" t="s">
        <v>602</v>
      </c>
    </row>
    <row r="69" spans="2:9" hidden="1" outlineLevel="1" x14ac:dyDescent="0.3">
      <c r="B69" s="46" t="s">
        <v>603</v>
      </c>
    </row>
    <row r="70" spans="2:9" hidden="1" outlineLevel="1" x14ac:dyDescent="0.3">
      <c r="B70" s="50" t="s">
        <v>567</v>
      </c>
    </row>
    <row r="71" spans="2:9" hidden="1" outlineLevel="1" x14ac:dyDescent="0.3">
      <c r="B71" s="48" t="s">
        <v>568</v>
      </c>
    </row>
    <row r="72" spans="2:9" hidden="1" outlineLevel="1" x14ac:dyDescent="0.3">
      <c r="B72" s="48" t="s">
        <v>570</v>
      </c>
    </row>
    <row r="73" spans="2:9" hidden="1" outlineLevel="1" x14ac:dyDescent="0.3">
      <c r="B73" s="48" t="s">
        <v>569</v>
      </c>
    </row>
    <row r="74" spans="2:9" hidden="1" outlineLevel="1" x14ac:dyDescent="0.3">
      <c r="B74" s="46" t="s">
        <v>604</v>
      </c>
    </row>
    <row r="75" spans="2:9" hidden="1" outlineLevel="1" x14ac:dyDescent="0.3">
      <c r="B75" s="49" t="s">
        <v>567</v>
      </c>
    </row>
    <row r="76" spans="2:9" ht="12.75" hidden="1" customHeight="1" outlineLevel="1" x14ac:dyDescent="0.3">
      <c r="B76" s="48" t="s">
        <v>613</v>
      </c>
      <c r="C76" s="48"/>
      <c r="D76" s="48"/>
      <c r="E76" s="48"/>
      <c r="F76" s="48"/>
      <c r="G76" s="48"/>
    </row>
    <row r="77" spans="2:9" ht="12.75" hidden="1" customHeight="1" outlineLevel="1" x14ac:dyDescent="0.3">
      <c r="B77" s="48" t="s">
        <v>614</v>
      </c>
      <c r="C77" s="145"/>
      <c r="D77" s="145"/>
      <c r="E77" s="145"/>
      <c r="F77" s="145"/>
      <c r="G77" s="145"/>
    </row>
    <row r="78" spans="2:9" hidden="1" outlineLevel="1" x14ac:dyDescent="0.3">
      <c r="B78" s="46"/>
    </row>
    <row r="79" spans="2:9" hidden="1" outlineLevel="1" x14ac:dyDescent="0.3">
      <c r="B79" s="46" t="s">
        <v>615</v>
      </c>
    </row>
    <row r="80" spans="2:9" hidden="1" outlineLevel="1" x14ac:dyDescent="0.3">
      <c r="B80" s="46" t="s">
        <v>616</v>
      </c>
      <c r="C80" s="46"/>
      <c r="D80" s="46"/>
      <c r="E80" s="46"/>
      <c r="F80" s="46"/>
      <c r="G80" s="46"/>
      <c r="H80" s="46"/>
      <c r="I80" s="46"/>
    </row>
    <row r="81" spans="2:9" hidden="1" outlineLevel="1" x14ac:dyDescent="0.3">
      <c r="B81" s="46" t="s">
        <v>617</v>
      </c>
      <c r="C81" s="146"/>
      <c r="D81" s="146"/>
      <c r="E81" s="146"/>
      <c r="F81" s="146"/>
      <c r="G81" s="146"/>
      <c r="H81" s="146"/>
      <c r="I81" s="146"/>
    </row>
    <row r="83" spans="2:9" ht="15.6" collapsed="1" x14ac:dyDescent="0.3">
      <c r="B83" s="43" t="str">
        <f>B8</f>
        <v>5. Kontrola a úprava zaokrouhlení.</v>
      </c>
      <c r="C83" s="37"/>
      <c r="D83" s="37"/>
      <c r="E83" s="37"/>
      <c r="F83" s="37"/>
      <c r="G83" s="37"/>
      <c r="H83" s="38" t="s">
        <v>543</v>
      </c>
      <c r="I83" s="37"/>
    </row>
    <row r="84" spans="2:9" ht="12.75" hidden="1" customHeight="1" outlineLevel="1" x14ac:dyDescent="0.3">
      <c r="B84" s="44"/>
    </row>
    <row r="85" spans="2:9" ht="12.75" hidden="1" customHeight="1" outlineLevel="1" x14ac:dyDescent="0.3">
      <c r="B85" s="46" t="s">
        <v>571</v>
      </c>
    </row>
    <row r="86" spans="2:9" ht="12.75" hidden="1" customHeight="1" outlineLevel="1" x14ac:dyDescent="0.3">
      <c r="B86" s="44" t="s">
        <v>572</v>
      </c>
    </row>
    <row r="87" spans="2:9" ht="12.75" hidden="1" customHeight="1" outlineLevel="1" x14ac:dyDescent="0.3">
      <c r="B87" s="44"/>
    </row>
    <row r="88" spans="2:9" ht="12.75" hidden="1" customHeight="1" outlineLevel="1" x14ac:dyDescent="0.3">
      <c r="B88" s="143" t="s">
        <v>605</v>
      </c>
    </row>
    <row r="89" spans="2:9" ht="12.75" hidden="1" customHeight="1" outlineLevel="1" x14ac:dyDescent="0.3">
      <c r="B89" s="44" t="s">
        <v>606</v>
      </c>
    </row>
    <row r="90" spans="2:9" ht="12.75" hidden="1" customHeight="1" outlineLevel="1" x14ac:dyDescent="0.3">
      <c r="B90" s="44"/>
    </row>
    <row r="91" spans="2:9" ht="12.75" hidden="1" customHeight="1" outlineLevel="1" x14ac:dyDescent="0.3">
      <c r="B91" s="44" t="s">
        <v>607</v>
      </c>
    </row>
    <row r="92" spans="2:9" ht="12.75" hidden="1" customHeight="1" outlineLevel="1" x14ac:dyDescent="0.3">
      <c r="B92" s="102" t="s">
        <v>608</v>
      </c>
    </row>
    <row r="93" spans="2:9" ht="12.75" hidden="1" customHeight="1" outlineLevel="1" x14ac:dyDescent="0.3">
      <c r="B93" s="44"/>
    </row>
    <row r="94" spans="2:9" ht="12.75" hidden="1" customHeight="1" outlineLevel="1" x14ac:dyDescent="0.3">
      <c r="B94" s="44"/>
    </row>
    <row r="95" spans="2:9" ht="12.75" hidden="1" customHeight="1" outlineLevel="1" x14ac:dyDescent="0.3">
      <c r="B95" s="44"/>
    </row>
    <row r="96" spans="2:9" ht="12.75" hidden="1" customHeight="1" outlineLevel="1" x14ac:dyDescent="0.3">
      <c r="B96" s="46" t="s">
        <v>618</v>
      </c>
    </row>
    <row r="97" spans="2:2" s="39" customFormat="1" ht="12.75" hidden="1" customHeight="1" outlineLevel="1" x14ac:dyDescent="0.3">
      <c r="B97" s="46" t="s">
        <v>619</v>
      </c>
    </row>
    <row r="98" spans="2:2" s="39" customFormat="1" ht="12.75" hidden="1" customHeight="1" outlineLevel="1" x14ac:dyDescent="0.3">
      <c r="B98" s="46" t="s">
        <v>610</v>
      </c>
    </row>
    <row r="99" spans="2:2" s="39" customFormat="1" ht="12.75" hidden="1" customHeight="1" outlineLevel="1" x14ac:dyDescent="0.3">
      <c r="B99" s="44"/>
    </row>
    <row r="100" spans="2:2" s="39" customFormat="1" ht="12.75" hidden="1" customHeight="1" outlineLevel="1" x14ac:dyDescent="0.3">
      <c r="B100" s="143" t="s">
        <v>609</v>
      </c>
    </row>
    <row r="101" spans="2:2" s="39" customFormat="1" ht="12.75" hidden="1" customHeight="1" outlineLevel="1" x14ac:dyDescent="0.3">
      <c r="B101" s="44"/>
    </row>
    <row r="102" spans="2:2" s="39" customFormat="1" ht="12.75" hidden="1" customHeight="1" outlineLevel="1" x14ac:dyDescent="0.3">
      <c r="B102" s="46" t="s">
        <v>576</v>
      </c>
    </row>
    <row r="103" spans="2:2" s="39" customFormat="1" ht="12.75" hidden="1" customHeight="1" outlineLevel="1" x14ac:dyDescent="0.3">
      <c r="B103" s="46" t="s">
        <v>577</v>
      </c>
    </row>
    <row r="104" spans="2:2" s="39" customFormat="1" ht="12.75" hidden="1" customHeight="1" outlineLevel="1" x14ac:dyDescent="0.3">
      <c r="B104" s="44"/>
    </row>
    <row r="105" spans="2:2" s="39" customFormat="1" ht="12.75" hidden="1" customHeight="1" outlineLevel="1" x14ac:dyDescent="0.3">
      <c r="B105" s="46" t="s">
        <v>573</v>
      </c>
    </row>
    <row r="106" spans="2:2" s="39" customFormat="1" ht="12.75" hidden="1" customHeight="1" outlineLevel="1" x14ac:dyDescent="0.3">
      <c r="B106" s="46" t="s">
        <v>574</v>
      </c>
    </row>
    <row r="107" spans="2:2" s="39" customFormat="1" ht="12.75" hidden="1" customHeight="1" outlineLevel="1" x14ac:dyDescent="0.3">
      <c r="B107" s="46" t="s">
        <v>575</v>
      </c>
    </row>
    <row r="108" spans="2:2" s="39" customFormat="1" ht="12.75" hidden="1" customHeight="1" outlineLevel="1" x14ac:dyDescent="0.3">
      <c r="B108" s="46" t="s">
        <v>578</v>
      </c>
    </row>
    <row r="109" spans="2:2" s="39" customFormat="1" ht="12.75" hidden="1" customHeight="1" outlineLevel="1" x14ac:dyDescent="0.3">
      <c r="B109" s="46" t="s">
        <v>582</v>
      </c>
    </row>
    <row r="110" spans="2:2" s="39" customFormat="1" ht="12.75" hidden="1" customHeight="1" outlineLevel="1" x14ac:dyDescent="0.3">
      <c r="B110" s="44" t="s">
        <v>579</v>
      </c>
    </row>
    <row r="111" spans="2:2" s="39" customFormat="1" ht="12.75" hidden="1" customHeight="1" outlineLevel="1" x14ac:dyDescent="0.3">
      <c r="B111" s="44" t="s">
        <v>580</v>
      </c>
    </row>
    <row r="112" spans="2:2" s="39" customFormat="1" ht="12.75" hidden="1" customHeight="1" outlineLevel="1" x14ac:dyDescent="0.3">
      <c r="B112" s="102" t="s">
        <v>581</v>
      </c>
    </row>
    <row r="113" spans="2:2" s="39" customFormat="1" ht="12.75" hidden="1" customHeight="1" outlineLevel="1" x14ac:dyDescent="0.3">
      <c r="B113" s="44"/>
    </row>
    <row r="114" spans="2:2" s="39" customFormat="1" ht="12.75" hidden="1" customHeight="1" outlineLevel="1" x14ac:dyDescent="0.3">
      <c r="B114" s="44"/>
    </row>
    <row r="115" spans="2:2" s="39" customFormat="1" ht="12.75" hidden="1" customHeight="1" outlineLevel="1" x14ac:dyDescent="0.3">
      <c r="B115" s="144"/>
    </row>
    <row r="116" spans="2:2" s="39" customFormat="1" x14ac:dyDescent="0.3">
      <c r="B116" s="144"/>
    </row>
  </sheetData>
  <mergeCells count="2">
    <mergeCell ref="B3:I3"/>
    <mergeCell ref="B11:H11"/>
  </mergeCells>
  <pageMargins left="0.39370078740157483" right="0.39370078740157483" top="0.39370078740157483" bottom="0.39370078740157483" header="0" footer="0"/>
  <pageSetup paperSize="9" scale="90" orientation="landscape" r:id="rId1"/>
  <headerFooter scaleWithDoc="0" alignWithMargins="0">
    <oddFooter>&amp;L&amp;G&amp;C&amp;"-,Obyčejné"&amp;8&amp;K00-049Tisk: &amp;D &amp;T&amp;R&amp;"-,Obyčejné"&amp;8&amp;K00-049&amp;F</oddFooter>
  </headerFooter>
  <drawing r:id="rId2"/>
  <legacyDrawingHF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4"/>
  </sheetPr>
  <dimension ref="A1:AK128"/>
  <sheetViews>
    <sheetView showGridLines="0" workbookViewId="0">
      <pane xSplit="7" ySplit="2" topLeftCell="H36" activePane="bottomRight" state="frozen"/>
      <selection activeCell="M8" sqref="M8"/>
      <selection pane="topRight" activeCell="M8" sqref="M8"/>
      <selection pane="bottomLeft" activeCell="M8" sqref="M8"/>
      <selection pane="bottomRight" activeCell="M8" sqref="M8"/>
    </sheetView>
  </sheetViews>
  <sheetFormatPr defaultColWidth="9.109375" defaultRowHeight="10.199999999999999" x14ac:dyDescent="0.3"/>
  <cols>
    <col min="1" max="1" width="3.5546875" style="203" customWidth="1"/>
    <col min="2" max="2" width="4.44140625" style="154" customWidth="1"/>
    <col min="3" max="3" width="62.88671875" style="160" customWidth="1"/>
    <col min="4" max="4" width="6.33203125" style="160" customWidth="1"/>
    <col min="5" max="5" width="4.5546875" style="160" customWidth="1"/>
    <col min="6" max="6" width="3.5546875" style="451" customWidth="1"/>
    <col min="7" max="7" width="2.6640625" style="166" customWidth="1"/>
    <col min="8" max="8" width="8.6640625" style="676" customWidth="1"/>
    <col min="9" max="12" width="8.6640625" style="195" customWidth="1"/>
    <col min="13" max="13" width="9.88671875" style="195" customWidth="1"/>
    <col min="14" max="15" width="8.6640625" style="195" customWidth="1"/>
    <col min="16" max="16" width="8.6640625" style="698" customWidth="1"/>
    <col min="17" max="36" width="8.6640625" style="195" customWidth="1"/>
    <col min="37" max="37" width="8.6640625" style="713" customWidth="1"/>
    <col min="38" max="16384" width="9.109375" style="154"/>
  </cols>
  <sheetData>
    <row r="1" spans="1:37" s="171" customFormat="1" x14ac:dyDescent="0.3">
      <c r="A1" s="188"/>
      <c r="B1" s="188"/>
      <c r="C1" s="177" t="str">
        <f>CONCATENATE("PŘEHLED O PENĚŽNÍCH TOCÍCH k ",DAY(INDEX!D11),".",MONTH(INDEX!D11),".",YEAR(INDEX!D11),"   ::   sestavení")</f>
        <v>PŘEHLED O PENĚŽNÍCH TOCÍCH k 31.12.2025   ::   sestavení</v>
      </c>
      <c r="D1" s="189"/>
      <c r="E1" s="189"/>
      <c r="F1" s="449"/>
      <c r="G1" s="190"/>
      <c r="H1" s="674" t="s">
        <v>736</v>
      </c>
      <c r="I1" s="194" t="s">
        <v>737</v>
      </c>
      <c r="J1" s="194" t="s">
        <v>737</v>
      </c>
      <c r="K1" s="194" t="s">
        <v>737</v>
      </c>
      <c r="L1" s="194" t="s">
        <v>737</v>
      </c>
      <c r="M1" s="194" t="s">
        <v>737</v>
      </c>
      <c r="N1" s="194" t="s">
        <v>737</v>
      </c>
      <c r="O1" s="194" t="s">
        <v>737</v>
      </c>
      <c r="P1" s="687" t="s">
        <v>694</v>
      </c>
      <c r="Q1" s="194" t="s">
        <v>738</v>
      </c>
      <c r="R1" s="194" t="s">
        <v>738</v>
      </c>
      <c r="S1" s="194" t="s">
        <v>738</v>
      </c>
      <c r="T1" s="194" t="s">
        <v>738</v>
      </c>
      <c r="U1" s="194" t="s">
        <v>738</v>
      </c>
      <c r="V1" s="194" t="s">
        <v>738</v>
      </c>
      <c r="W1" s="194" t="s">
        <v>738</v>
      </c>
      <c r="X1" s="194" t="s">
        <v>738</v>
      </c>
      <c r="Y1" s="194" t="s">
        <v>738</v>
      </c>
      <c r="Z1" s="194" t="s">
        <v>738</v>
      </c>
      <c r="AA1" s="194" t="s">
        <v>738</v>
      </c>
      <c r="AB1" s="194" t="s">
        <v>738</v>
      </c>
      <c r="AC1" s="194" t="s">
        <v>738</v>
      </c>
      <c r="AD1" s="194" t="s">
        <v>738</v>
      </c>
      <c r="AE1" s="194" t="s">
        <v>738</v>
      </c>
      <c r="AF1" s="194" t="s">
        <v>738</v>
      </c>
      <c r="AG1" s="194" t="s">
        <v>738</v>
      </c>
      <c r="AH1" s="194" t="s">
        <v>738</v>
      </c>
      <c r="AI1" s="194" t="s">
        <v>738</v>
      </c>
      <c r="AJ1" s="194" t="s">
        <v>738</v>
      </c>
      <c r="AK1" s="702" t="s">
        <v>694</v>
      </c>
    </row>
    <row r="2" spans="1:37" s="1" customFormat="1" ht="38.4" x14ac:dyDescent="0.2">
      <c r="A2" s="202" t="s">
        <v>860</v>
      </c>
      <c r="B2" s="191"/>
      <c r="C2" s="192" t="s">
        <v>675</v>
      </c>
      <c r="D2" s="192"/>
      <c r="E2" s="192"/>
      <c r="F2" s="450"/>
      <c r="G2" s="193"/>
      <c r="H2" s="675" t="s">
        <v>689</v>
      </c>
      <c r="I2" s="170" t="s">
        <v>690</v>
      </c>
      <c r="J2" s="170" t="s">
        <v>691</v>
      </c>
      <c r="K2" s="170" t="s">
        <v>692</v>
      </c>
      <c r="L2" s="170" t="s">
        <v>693</v>
      </c>
      <c r="M2" s="170" t="s">
        <v>1227</v>
      </c>
      <c r="N2" s="170" t="s">
        <v>1227</v>
      </c>
      <c r="O2" s="170" t="s">
        <v>1227</v>
      </c>
      <c r="P2" s="688" t="s">
        <v>708</v>
      </c>
      <c r="Q2" s="170" t="s">
        <v>695</v>
      </c>
      <c r="R2" s="170" t="s">
        <v>696</v>
      </c>
      <c r="S2" s="170" t="s">
        <v>697</v>
      </c>
      <c r="T2" s="170" t="s">
        <v>698</v>
      </c>
      <c r="U2" s="170" t="s">
        <v>699</v>
      </c>
      <c r="V2" s="170" t="s">
        <v>1228</v>
      </c>
      <c r="W2" s="170" t="s">
        <v>700</v>
      </c>
      <c r="X2" s="170" t="s">
        <v>1229</v>
      </c>
      <c r="Y2" s="170" t="s">
        <v>702</v>
      </c>
      <c r="Z2" s="170" t="s">
        <v>701</v>
      </c>
      <c r="AA2" s="170" t="s">
        <v>702</v>
      </c>
      <c r="AB2" s="170" t="s">
        <v>703</v>
      </c>
      <c r="AC2" s="170" t="s">
        <v>704</v>
      </c>
      <c r="AD2" s="170" t="s">
        <v>705</v>
      </c>
      <c r="AE2" s="170" t="s">
        <v>706</v>
      </c>
      <c r="AF2" s="170" t="s">
        <v>1227</v>
      </c>
      <c r="AG2" s="170" t="s">
        <v>1227</v>
      </c>
      <c r="AH2" s="170" t="s">
        <v>1227</v>
      </c>
      <c r="AI2" s="170" t="s">
        <v>1227</v>
      </c>
      <c r="AJ2" s="170" t="s">
        <v>1227</v>
      </c>
      <c r="AK2" s="703" t="s">
        <v>707</v>
      </c>
    </row>
    <row r="3" spans="1:37" x14ac:dyDescent="0.3">
      <c r="P3" s="689"/>
      <c r="AK3" s="704"/>
    </row>
    <row r="4" spans="1:37" s="187" customFormat="1" x14ac:dyDescent="0.3">
      <c r="A4" s="204">
        <v>1</v>
      </c>
      <c r="B4" s="185"/>
      <c r="C4" s="185" t="s">
        <v>676</v>
      </c>
      <c r="D4" s="185"/>
      <c r="E4" s="185" t="s">
        <v>733</v>
      </c>
      <c r="F4" s="452"/>
      <c r="G4" s="186"/>
      <c r="H4" s="677">
        <f t="shared" ref="H4:O4" si="0">SUMIF($B:$B,$E4,H:H)</f>
        <v>0</v>
      </c>
      <c r="I4" s="196">
        <f t="shared" si="0"/>
        <v>0</v>
      </c>
      <c r="J4" s="196">
        <f t="shared" si="0"/>
        <v>0</v>
      </c>
      <c r="K4" s="196">
        <f t="shared" si="0"/>
        <v>0</v>
      </c>
      <c r="L4" s="196">
        <f t="shared" si="0"/>
        <v>0</v>
      </c>
      <c r="M4" s="196">
        <f t="shared" si="0"/>
        <v>0</v>
      </c>
      <c r="N4" s="196">
        <f t="shared" si="0"/>
        <v>0</v>
      </c>
      <c r="O4" s="196">
        <f t="shared" si="0"/>
        <v>0</v>
      </c>
      <c r="P4" s="690">
        <f>SUM(H4:O4)</f>
        <v>0</v>
      </c>
      <c r="Q4" s="196"/>
      <c r="R4" s="196"/>
      <c r="S4" s="196"/>
      <c r="T4" s="196"/>
      <c r="U4" s="196"/>
      <c r="V4" s="196"/>
      <c r="W4" s="196"/>
      <c r="X4" s="196"/>
      <c r="Y4" s="196"/>
      <c r="Z4" s="196"/>
      <c r="AA4" s="196"/>
      <c r="AB4" s="196"/>
      <c r="AC4" s="196"/>
      <c r="AD4" s="196"/>
      <c r="AE4" s="196"/>
      <c r="AF4" s="196"/>
      <c r="AG4" s="196"/>
      <c r="AH4" s="196"/>
      <c r="AI4" s="196"/>
      <c r="AJ4" s="196"/>
      <c r="AK4" s="705">
        <f t="shared" ref="AK4:AK70" si="1">SUM(P4:AJ4)</f>
        <v>0</v>
      </c>
    </row>
    <row r="5" spans="1:37" s="173" customFormat="1" x14ac:dyDescent="0.3">
      <c r="A5" s="205"/>
      <c r="B5" s="173" t="s">
        <v>733</v>
      </c>
      <c r="C5" s="174" t="s">
        <v>54</v>
      </c>
      <c r="D5" s="174" t="s">
        <v>350</v>
      </c>
      <c r="E5" s="173" t="s">
        <v>279</v>
      </c>
      <c r="F5" s="453">
        <v>72</v>
      </c>
      <c r="G5" s="175">
        <v>1</v>
      </c>
      <c r="H5" s="678">
        <f>G5*IF(E5="P",SUMIF(PASIVA!$L:$L,'CF calc'!$F5,PASIVA!N:N),IF(E5="A",SUMIF(AKTIVA!$M:$M,'CF calc'!$F5,AKTIVA!Q:Q),IF(E5="V",SUMIF(VYSLEDOVKA!L:L,F5,VYSLEDOVKA!M:M),"-")))</f>
        <v>0</v>
      </c>
      <c r="I5" s="197"/>
      <c r="J5" s="197"/>
      <c r="K5" s="197"/>
      <c r="L5" s="197"/>
      <c r="M5" s="197"/>
      <c r="N5" s="197"/>
      <c r="O5" s="197"/>
      <c r="P5" s="691">
        <f>SUM(H5:O5)</f>
        <v>0</v>
      </c>
      <c r="Q5" s="197"/>
      <c r="R5" s="197"/>
      <c r="S5" s="197"/>
      <c r="T5" s="197"/>
      <c r="U5" s="197"/>
      <c r="V5" s="197"/>
      <c r="W5" s="197"/>
      <c r="X5" s="197"/>
      <c r="Y5" s="197"/>
      <c r="Z5" s="197"/>
      <c r="AA5" s="197"/>
      <c r="AB5" s="197"/>
      <c r="AC5" s="197"/>
      <c r="AD5" s="197"/>
      <c r="AE5" s="197"/>
      <c r="AF5" s="197"/>
      <c r="AG5" s="197"/>
      <c r="AH5" s="197"/>
      <c r="AI5" s="197"/>
      <c r="AJ5" s="197"/>
      <c r="AK5" s="706">
        <f t="shared" si="1"/>
        <v>0</v>
      </c>
    </row>
    <row r="6" spans="1:37" s="173" customFormat="1" x14ac:dyDescent="0.3">
      <c r="A6" s="205"/>
      <c r="B6" s="173" t="s">
        <v>733</v>
      </c>
      <c r="C6" s="174" t="s">
        <v>231</v>
      </c>
      <c r="D6" s="174" t="s">
        <v>350</v>
      </c>
      <c r="E6" s="173" t="s">
        <v>279</v>
      </c>
      <c r="F6" s="453">
        <v>73</v>
      </c>
      <c r="G6" s="175">
        <v>1</v>
      </c>
      <c r="H6" s="678">
        <f>G6*IF(E6="P",SUMIF(PASIVA!$L:$L,'CF calc'!$F6,PASIVA!N:N),IF(E6="A",SUMIF(AKTIVA!$M:$M,'CF calc'!$F6,AKTIVA!Q:Q),IF(E6="V",SUMIF(VYSLEDOVKA!L:L,F6,VYSLEDOVKA!M:M),"-")))</f>
        <v>0</v>
      </c>
      <c r="I6" s="197"/>
      <c r="J6" s="197"/>
      <c r="K6" s="197"/>
      <c r="L6" s="197"/>
      <c r="M6" s="197"/>
      <c r="N6" s="197"/>
      <c r="O6" s="197"/>
      <c r="P6" s="691">
        <f>SUM(H6:O6)</f>
        <v>0</v>
      </c>
      <c r="Q6" s="197"/>
      <c r="R6" s="197"/>
      <c r="S6" s="197"/>
      <c r="T6" s="197"/>
      <c r="U6" s="197"/>
      <c r="V6" s="197"/>
      <c r="W6" s="197"/>
      <c r="X6" s="197"/>
      <c r="Y6" s="197"/>
      <c r="Z6" s="197"/>
      <c r="AA6" s="197"/>
      <c r="AB6" s="197"/>
      <c r="AC6" s="197"/>
      <c r="AD6" s="197"/>
      <c r="AE6" s="197"/>
      <c r="AF6" s="197"/>
      <c r="AG6" s="197"/>
      <c r="AH6" s="197"/>
      <c r="AI6" s="197"/>
      <c r="AJ6" s="197"/>
      <c r="AK6" s="706">
        <f t="shared" si="1"/>
        <v>0</v>
      </c>
    </row>
    <row r="7" spans="1:37" x14ac:dyDescent="0.3">
      <c r="P7" s="689"/>
      <c r="AK7" s="704">
        <f t="shared" si="1"/>
        <v>0</v>
      </c>
    </row>
    <row r="8" spans="1:37" x14ac:dyDescent="0.3">
      <c r="A8" s="203">
        <v>2</v>
      </c>
      <c r="C8" s="160" t="s">
        <v>711</v>
      </c>
      <c r="P8" s="689">
        <f>SUM(H8:O8)</f>
        <v>0</v>
      </c>
      <c r="AK8" s="704">
        <f t="shared" si="1"/>
        <v>0</v>
      </c>
    </row>
    <row r="9" spans="1:37" s="182" customFormat="1" x14ac:dyDescent="0.3">
      <c r="A9" s="206">
        <v>3</v>
      </c>
      <c r="C9" s="183" t="s">
        <v>679</v>
      </c>
      <c r="D9" s="183" t="s">
        <v>677</v>
      </c>
      <c r="E9" s="183" t="s">
        <v>321</v>
      </c>
      <c r="F9" s="454"/>
      <c r="G9" s="184"/>
      <c r="H9" s="679">
        <f>SUMIF($B:$B,$E9,H:H)</f>
        <v>0</v>
      </c>
      <c r="I9" s="198"/>
      <c r="J9" s="198"/>
      <c r="K9" s="198"/>
      <c r="L9" s="198"/>
      <c r="M9" s="198"/>
      <c r="N9" s="198"/>
      <c r="O9" s="198"/>
      <c r="P9" s="692">
        <f t="shared" ref="P9:P106" si="2">SUM(H9:O9)</f>
        <v>0</v>
      </c>
      <c r="Q9" s="198"/>
      <c r="R9" s="198"/>
      <c r="S9" s="198"/>
      <c r="T9" s="198"/>
      <c r="U9" s="198"/>
      <c r="V9" s="198"/>
      <c r="W9" s="198"/>
      <c r="X9" s="198"/>
      <c r="Y9" s="198"/>
      <c r="Z9" s="198"/>
      <c r="AA9" s="198"/>
      <c r="AB9" s="198"/>
      <c r="AC9" s="198"/>
      <c r="AD9" s="198"/>
      <c r="AE9" s="198"/>
      <c r="AF9" s="198"/>
      <c r="AG9" s="198"/>
      <c r="AH9" s="198"/>
      <c r="AI9" s="198"/>
      <c r="AJ9" s="198"/>
      <c r="AK9" s="707">
        <f t="shared" si="1"/>
        <v>0</v>
      </c>
    </row>
    <row r="10" spans="1:37" x14ac:dyDescent="0.3">
      <c r="B10" s="154" t="s">
        <v>321</v>
      </c>
      <c r="C10" s="160" t="s">
        <v>1225</v>
      </c>
      <c r="D10" s="160" t="s">
        <v>349</v>
      </c>
      <c r="E10" s="160" t="s">
        <v>678</v>
      </c>
      <c r="F10" s="451">
        <v>53</v>
      </c>
      <c r="G10" s="166">
        <v>1</v>
      </c>
      <c r="H10" s="676">
        <f>G10*IF(E10="P",SUMIF(PASIVA!$L:$L,'CF calc'!$F10,PASIVA!M:M)-SUMIF(PASIVA!$L:$L,'CF calc'!$F10,PASIVA!N:N),IF(E10="A",SUMIF(AKTIVA!$M:$M,'CF calc'!$F10,AKTIVA!P:P)-SUMIF(AKTIVA!$M:$M,'CF calc'!$F10,AKTIVA!Q:Q),IF(E10="V",SUMIF(VYSLEDOVKA!L:L,F10,VYSLEDOVKA!M:M),"-")))</f>
        <v>0</v>
      </c>
      <c r="I10" s="201"/>
      <c r="J10" s="201"/>
      <c r="K10" s="201"/>
      <c r="L10" s="201"/>
      <c r="M10" s="201"/>
      <c r="N10" s="201"/>
      <c r="O10" s="201"/>
      <c r="P10" s="689">
        <f t="shared" ref="P10:P11" si="3">SUM(H10:O10)</f>
        <v>0</v>
      </c>
      <c r="Y10" s="639"/>
      <c r="Z10" s="640"/>
      <c r="AA10" s="640"/>
      <c r="AB10" s="640"/>
      <c r="AC10" s="640"/>
      <c r="AD10" s="640"/>
      <c r="AE10" s="640"/>
      <c r="AF10" s="640"/>
      <c r="AG10" s="640"/>
      <c r="AH10" s="640"/>
      <c r="AI10" s="640"/>
      <c r="AJ10" s="699"/>
      <c r="AK10" s="704">
        <f t="shared" si="1"/>
        <v>0</v>
      </c>
    </row>
    <row r="11" spans="1:37" x14ac:dyDescent="0.3">
      <c r="B11" s="154" t="s">
        <v>321</v>
      </c>
      <c r="C11" s="160" t="s">
        <v>81</v>
      </c>
      <c r="D11" s="160" t="s">
        <v>349</v>
      </c>
      <c r="E11" s="160" t="s">
        <v>678</v>
      </c>
      <c r="F11" s="451">
        <v>50</v>
      </c>
      <c r="G11" s="166">
        <v>1</v>
      </c>
      <c r="H11" s="676">
        <f>G11*IF(E11="P",SUMIF(PASIVA!$L:$L,'CF calc'!$F11,PASIVA!M:M)-SUMIF(PASIVA!$L:$L,'CF calc'!$F11,PASIVA!N:N),IF(E11="A",SUMIF(AKTIVA!$M:$M,'CF calc'!$F11,AKTIVA!P:P)-SUMIF(AKTIVA!$M:$M,'CF calc'!$F11,AKTIVA!Q:Q),IF(E11="V",SUMIF(VYSLEDOVKA!L:L,F11,VYSLEDOVKA!M:M),"-")))</f>
        <v>0</v>
      </c>
      <c r="I11" s="201"/>
      <c r="J11" s="201"/>
      <c r="K11" s="201"/>
      <c r="L11" s="201"/>
      <c r="M11" s="201"/>
      <c r="N11" s="201"/>
      <c r="O11" s="201"/>
      <c r="P11" s="689">
        <f t="shared" si="3"/>
        <v>0</v>
      </c>
      <c r="Y11" s="641"/>
      <c r="Z11" s="642"/>
      <c r="AA11" s="642"/>
      <c r="AB11" s="642"/>
      <c r="AC11" s="642"/>
      <c r="AD11" s="642"/>
      <c r="AE11" s="642"/>
      <c r="AF11" s="642"/>
      <c r="AG11" s="642"/>
      <c r="AH11" s="642"/>
      <c r="AI11" s="642"/>
      <c r="AJ11" s="700"/>
      <c r="AK11" s="704">
        <f t="shared" si="1"/>
        <v>0</v>
      </c>
    </row>
    <row r="12" spans="1:37" s="153" customFormat="1" x14ac:dyDescent="0.3">
      <c r="A12" s="209"/>
      <c r="C12" s="168"/>
      <c r="D12" s="168"/>
      <c r="E12" s="168"/>
      <c r="F12" s="455"/>
      <c r="G12" s="169"/>
      <c r="H12" s="680"/>
      <c r="I12" s="161"/>
      <c r="J12" s="161"/>
      <c r="K12" s="161"/>
      <c r="L12" s="161"/>
      <c r="M12" s="161"/>
      <c r="N12" s="161"/>
      <c r="O12" s="161"/>
      <c r="P12" s="693"/>
      <c r="Q12" s="161"/>
      <c r="R12" s="161"/>
      <c r="S12" s="161"/>
      <c r="T12" s="161"/>
      <c r="U12" s="161"/>
      <c r="V12" s="161"/>
      <c r="W12" s="161"/>
      <c r="X12" s="161"/>
      <c r="Y12" s="161"/>
      <c r="Z12" s="161"/>
      <c r="AA12" s="161"/>
      <c r="AB12" s="161"/>
      <c r="AC12" s="161"/>
      <c r="AD12" s="161"/>
      <c r="AE12" s="161"/>
      <c r="AF12" s="161"/>
      <c r="AG12" s="161"/>
      <c r="AH12" s="161"/>
      <c r="AI12" s="161"/>
      <c r="AJ12" s="161"/>
      <c r="AK12" s="708">
        <f t="shared" si="1"/>
        <v>0</v>
      </c>
    </row>
    <row r="13" spans="1:37" s="228" customFormat="1" x14ac:dyDescent="0.3">
      <c r="A13" s="227">
        <v>4</v>
      </c>
      <c r="C13" s="229" t="s">
        <v>633</v>
      </c>
      <c r="D13" s="229" t="s">
        <v>677</v>
      </c>
      <c r="E13" s="229" t="s">
        <v>680</v>
      </c>
      <c r="F13" s="456"/>
      <c r="G13" s="230"/>
      <c r="H13" s="681">
        <f t="shared" ref="H13:O14" si="4">SUMIF($B:$B,$E13,H:H)</f>
        <v>0</v>
      </c>
      <c r="I13" s="231">
        <f t="shared" si="4"/>
        <v>0</v>
      </c>
      <c r="J13" s="231">
        <f t="shared" si="4"/>
        <v>0</v>
      </c>
      <c r="K13" s="231">
        <f t="shared" si="4"/>
        <v>0</v>
      </c>
      <c r="L13" s="231">
        <f t="shared" si="4"/>
        <v>0</v>
      </c>
      <c r="M13" s="231">
        <f t="shared" si="4"/>
        <v>0</v>
      </c>
      <c r="N13" s="231">
        <f t="shared" si="4"/>
        <v>0</v>
      </c>
      <c r="O13" s="231">
        <f t="shared" si="4"/>
        <v>0</v>
      </c>
      <c r="P13" s="694">
        <f t="shared" si="2"/>
        <v>0</v>
      </c>
      <c r="Q13" s="231">
        <f t="shared" ref="Q13:Z14" si="5">SUMIF($B:$B,$E13,Q:Q)</f>
        <v>0</v>
      </c>
      <c r="R13" s="231">
        <f t="shared" si="5"/>
        <v>0</v>
      </c>
      <c r="S13" s="231">
        <f t="shared" si="5"/>
        <v>0</v>
      </c>
      <c r="T13" s="231">
        <f t="shared" si="5"/>
        <v>0</v>
      </c>
      <c r="U13" s="231">
        <f t="shared" si="5"/>
        <v>0</v>
      </c>
      <c r="V13" s="231">
        <f t="shared" si="5"/>
        <v>0</v>
      </c>
      <c r="W13" s="231">
        <f t="shared" si="5"/>
        <v>0</v>
      </c>
      <c r="X13" s="231">
        <f t="shared" si="5"/>
        <v>0</v>
      </c>
      <c r="Y13" s="231">
        <f t="shared" si="5"/>
        <v>0</v>
      </c>
      <c r="Z13" s="231">
        <f t="shared" si="5"/>
        <v>0</v>
      </c>
      <c r="AA13" s="231">
        <f t="shared" ref="AA13:AJ14" si="6">SUMIF($B:$B,$E13,AA:AA)</f>
        <v>0</v>
      </c>
      <c r="AB13" s="231">
        <f t="shared" si="6"/>
        <v>0</v>
      </c>
      <c r="AC13" s="231">
        <f t="shared" si="6"/>
        <v>0</v>
      </c>
      <c r="AD13" s="231">
        <f t="shared" si="6"/>
        <v>0</v>
      </c>
      <c r="AE13" s="231">
        <f t="shared" si="6"/>
        <v>0</v>
      </c>
      <c r="AF13" s="231">
        <f t="shared" si="6"/>
        <v>0</v>
      </c>
      <c r="AG13" s="231">
        <f t="shared" si="6"/>
        <v>0</v>
      </c>
      <c r="AH13" s="231">
        <f t="shared" si="6"/>
        <v>0</v>
      </c>
      <c r="AI13" s="231">
        <f t="shared" si="6"/>
        <v>0</v>
      </c>
      <c r="AJ13" s="231">
        <f t="shared" si="6"/>
        <v>0</v>
      </c>
      <c r="AK13" s="709">
        <f t="shared" si="1"/>
        <v>0</v>
      </c>
    </row>
    <row r="14" spans="1:37" s="173" customFormat="1" x14ac:dyDescent="0.3">
      <c r="A14" s="205">
        <v>5</v>
      </c>
      <c r="B14" s="173" t="s">
        <v>680</v>
      </c>
      <c r="C14" s="174" t="s">
        <v>864</v>
      </c>
      <c r="D14" s="174" t="s">
        <v>677</v>
      </c>
      <c r="E14" s="174" t="s">
        <v>729</v>
      </c>
      <c r="F14" s="453"/>
      <c r="G14" s="175"/>
      <c r="H14" s="678">
        <f t="shared" si="4"/>
        <v>0</v>
      </c>
      <c r="I14" s="197">
        <f t="shared" si="4"/>
        <v>0</v>
      </c>
      <c r="J14" s="197">
        <f t="shared" si="4"/>
        <v>0</v>
      </c>
      <c r="K14" s="197">
        <f t="shared" si="4"/>
        <v>0</v>
      </c>
      <c r="L14" s="197">
        <f t="shared" si="4"/>
        <v>0</v>
      </c>
      <c r="M14" s="197">
        <f t="shared" si="4"/>
        <v>0</v>
      </c>
      <c r="N14" s="197">
        <f t="shared" si="4"/>
        <v>0</v>
      </c>
      <c r="O14" s="197">
        <f t="shared" si="4"/>
        <v>0</v>
      </c>
      <c r="P14" s="691">
        <f t="shared" ref="P14:P30" si="7">SUM(H14:O14)</f>
        <v>0</v>
      </c>
      <c r="Q14" s="197">
        <f t="shared" si="5"/>
        <v>0</v>
      </c>
      <c r="R14" s="197">
        <f t="shared" si="5"/>
        <v>0</v>
      </c>
      <c r="S14" s="197">
        <f t="shared" si="5"/>
        <v>0</v>
      </c>
      <c r="T14" s="197">
        <f t="shared" si="5"/>
        <v>0</v>
      </c>
      <c r="U14" s="197">
        <f t="shared" si="5"/>
        <v>0</v>
      </c>
      <c r="V14" s="197">
        <f t="shared" si="5"/>
        <v>0</v>
      </c>
      <c r="W14" s="197">
        <f t="shared" si="5"/>
        <v>0</v>
      </c>
      <c r="X14" s="197">
        <f t="shared" si="5"/>
        <v>0</v>
      </c>
      <c r="Y14" s="197">
        <f t="shared" si="5"/>
        <v>0</v>
      </c>
      <c r="Z14" s="197">
        <f t="shared" si="5"/>
        <v>0</v>
      </c>
      <c r="AA14" s="197">
        <f t="shared" si="6"/>
        <v>0</v>
      </c>
      <c r="AB14" s="197">
        <f t="shared" si="6"/>
        <v>0</v>
      </c>
      <c r="AC14" s="197">
        <f t="shared" si="6"/>
        <v>0</v>
      </c>
      <c r="AD14" s="197">
        <f t="shared" si="6"/>
        <v>0</v>
      </c>
      <c r="AE14" s="197">
        <f t="shared" si="6"/>
        <v>0</v>
      </c>
      <c r="AF14" s="197">
        <f t="shared" si="6"/>
        <v>0</v>
      </c>
      <c r="AG14" s="197">
        <f t="shared" si="6"/>
        <v>0</v>
      </c>
      <c r="AH14" s="197">
        <f t="shared" si="6"/>
        <v>0</v>
      </c>
      <c r="AI14" s="197">
        <f t="shared" si="6"/>
        <v>0</v>
      </c>
      <c r="AJ14" s="197">
        <f t="shared" si="6"/>
        <v>0</v>
      </c>
      <c r="AK14" s="706">
        <f t="shared" si="1"/>
        <v>0</v>
      </c>
    </row>
    <row r="15" spans="1:37" x14ac:dyDescent="0.3">
      <c r="B15" s="154" t="s">
        <v>729</v>
      </c>
      <c r="C15" s="160" t="s">
        <v>893</v>
      </c>
      <c r="D15" s="160" t="s">
        <v>349</v>
      </c>
      <c r="E15" s="160" t="s">
        <v>678</v>
      </c>
      <c r="F15" s="451">
        <v>15</v>
      </c>
      <c r="G15" s="166">
        <v>1</v>
      </c>
      <c r="H15" s="676">
        <f>G15*IF(E15="P",SUMIF(PASIVA!$L:$L,'CF calc'!$F15,PASIVA!M:M)-SUMIF(PASIVA!$L:$L,'CF calc'!$F15,PASIVA!N:N),IF(E15="A",SUMIF(AKTIVA!$M:$M,'CF calc'!$F15,AKTIVA!P:P)-SUMIF(AKTIVA!$M:$M,'CF calc'!$F15,AKTIVA!Q:Q),IF(E15="V",SUMIF(VYSLEDOVKA!L:L,F15,VYSLEDOVKA!M:M),"-")))-H16</f>
        <v>0</v>
      </c>
      <c r="I15" s="639"/>
      <c r="J15" s="639"/>
      <c r="K15" s="639"/>
      <c r="L15" s="639"/>
      <c r="M15" s="639"/>
      <c r="N15" s="639"/>
      <c r="O15" s="639"/>
      <c r="P15" s="689">
        <f t="shared" si="7"/>
        <v>0</v>
      </c>
      <c r="Q15" s="639"/>
      <c r="R15" s="639"/>
      <c r="S15" s="639"/>
      <c r="T15" s="639"/>
      <c r="U15" s="639"/>
      <c r="V15" s="639"/>
      <c r="W15" s="639"/>
      <c r="X15" s="639"/>
      <c r="Y15" s="639"/>
      <c r="Z15" s="640"/>
      <c r="AA15" s="640"/>
      <c r="AB15" s="640"/>
      <c r="AC15" s="640"/>
      <c r="AD15" s="640"/>
      <c r="AE15" s="640"/>
      <c r="AF15" s="640"/>
      <c r="AG15" s="640"/>
      <c r="AH15" s="640"/>
      <c r="AI15" s="640"/>
      <c r="AJ15" s="699"/>
      <c r="AK15" s="704">
        <f t="shared" si="1"/>
        <v>0</v>
      </c>
    </row>
    <row r="16" spans="1:37" x14ac:dyDescent="0.3">
      <c r="B16" s="154" t="s">
        <v>729</v>
      </c>
      <c r="C16" s="160" t="s">
        <v>894</v>
      </c>
      <c r="D16" s="160" t="s">
        <v>681</v>
      </c>
      <c r="E16" s="160" t="s">
        <v>279</v>
      </c>
      <c r="F16" s="451">
        <v>9</v>
      </c>
      <c r="G16" s="166">
        <v>-1</v>
      </c>
      <c r="H16" s="676">
        <f>G16*IF(E16="P",SUMIF(PASIVA!$L:$L,'CF calc'!$F16,PASIVA!M:M)-SUMIF(PASIVA!$L:$L,'CF calc'!$F16,PASIVA!N:N),IF(E16="A",SUMIF(AKTIVA!$M:$M,'CF calc'!$F16,AKTIVA!P:P)-SUMIF(AKTIVA!$M:$M,'CF calc'!$F16,AKTIVA!Q:Q),IF(E16="V",SUMIF(VYSLEDOVKA!L:L,F16,VYSLEDOVKA!M:M),"-")))</f>
        <v>0</v>
      </c>
      <c r="I16" s="639"/>
      <c r="J16" s="639"/>
      <c r="K16" s="639"/>
      <c r="L16" s="639"/>
      <c r="M16" s="639"/>
      <c r="N16" s="639"/>
      <c r="O16" s="639"/>
      <c r="P16" s="689">
        <f t="shared" ref="P16" si="8">SUM(H16:O16)</f>
        <v>0</v>
      </c>
      <c r="Q16" s="639"/>
      <c r="R16" s="639"/>
      <c r="S16" s="639"/>
      <c r="T16" s="639"/>
      <c r="U16" s="639"/>
      <c r="V16" s="639"/>
      <c r="W16" s="639"/>
      <c r="X16" s="639"/>
      <c r="Y16" s="643"/>
      <c r="Z16" s="644"/>
      <c r="AA16" s="644"/>
      <c r="AB16" s="644"/>
      <c r="AC16" s="644"/>
      <c r="AD16" s="644"/>
      <c r="AE16" s="644"/>
      <c r="AF16" s="644"/>
      <c r="AG16" s="644"/>
      <c r="AH16" s="644"/>
      <c r="AI16" s="644"/>
      <c r="AJ16" s="701"/>
      <c r="AK16" s="704">
        <f t="shared" si="1"/>
        <v>0</v>
      </c>
    </row>
    <row r="17" spans="1:37" x14ac:dyDescent="0.3">
      <c r="B17" s="154" t="s">
        <v>729</v>
      </c>
      <c r="C17" s="160" t="s">
        <v>895</v>
      </c>
      <c r="D17" s="160" t="s">
        <v>681</v>
      </c>
      <c r="E17" s="160" t="s">
        <v>279</v>
      </c>
      <c r="F17" s="451">
        <v>19</v>
      </c>
      <c r="G17" s="166">
        <v>-1</v>
      </c>
      <c r="H17" s="676">
        <f>G17*IF(E17="P",SUMIF(PASIVA!$L:$L,'CF calc'!$F17,PASIVA!M:M)-SUMIF(PASIVA!$L:$L,'CF calc'!$F17,PASIVA!N:N),IF(E17="A",SUMIF(AKTIVA!$M:$M,'CF calc'!$F17,AKTIVA!P:P)-SUMIF(AKTIVA!$M:$M,'CF calc'!$F17,AKTIVA!Q:Q),IF(E17="V",SUMIF(VYSLEDOVKA!L:L,F17,VYSLEDOVKA!M:M),"-")))</f>
        <v>0</v>
      </c>
      <c r="I17" s="639"/>
      <c r="J17" s="639"/>
      <c r="K17" s="639"/>
      <c r="L17" s="639"/>
      <c r="M17" s="639"/>
      <c r="N17" s="639"/>
      <c r="O17" s="639"/>
      <c r="P17" s="689">
        <f t="shared" ref="P17" si="9">SUM(H17:O17)</f>
        <v>0</v>
      </c>
      <c r="Q17" s="639"/>
      <c r="R17" s="639"/>
      <c r="S17" s="639"/>
      <c r="T17" s="639"/>
      <c r="U17" s="639"/>
      <c r="V17" s="639"/>
      <c r="W17" s="639"/>
      <c r="X17" s="639"/>
      <c r="Y17" s="641"/>
      <c r="Z17" s="642"/>
      <c r="AA17" s="642"/>
      <c r="AB17" s="642"/>
      <c r="AC17" s="642"/>
      <c r="AD17" s="642"/>
      <c r="AE17" s="642"/>
      <c r="AF17" s="642"/>
      <c r="AG17" s="642"/>
      <c r="AH17" s="642"/>
      <c r="AI17" s="642"/>
      <c r="AJ17" s="700"/>
      <c r="AK17" s="704">
        <f t="shared" si="1"/>
        <v>0</v>
      </c>
    </row>
    <row r="18" spans="1:37" s="173" customFormat="1" x14ac:dyDescent="0.3">
      <c r="A18" s="205">
        <v>6</v>
      </c>
      <c r="B18" s="173" t="s">
        <v>680</v>
      </c>
      <c r="C18" s="174" t="s">
        <v>865</v>
      </c>
      <c r="D18" s="174" t="s">
        <v>677</v>
      </c>
      <c r="E18" s="173" t="s">
        <v>682</v>
      </c>
      <c r="F18" s="453"/>
      <c r="G18" s="175"/>
      <c r="H18" s="678">
        <f t="shared" ref="H18:O18" si="10">SUMIF($B:$B,$E18,H:H)</f>
        <v>0</v>
      </c>
      <c r="I18" s="197">
        <f t="shared" si="10"/>
        <v>0</v>
      </c>
      <c r="J18" s="197">
        <f t="shared" si="10"/>
        <v>0</v>
      </c>
      <c r="K18" s="197">
        <f t="shared" si="10"/>
        <v>0</v>
      </c>
      <c r="L18" s="197">
        <f t="shared" si="10"/>
        <v>0</v>
      </c>
      <c r="M18" s="197">
        <f t="shared" si="10"/>
        <v>0</v>
      </c>
      <c r="N18" s="197">
        <f t="shared" si="10"/>
        <v>0</v>
      </c>
      <c r="O18" s="197">
        <f t="shared" si="10"/>
        <v>0</v>
      </c>
      <c r="P18" s="691">
        <f t="shared" si="7"/>
        <v>0</v>
      </c>
      <c r="Q18" s="197">
        <f t="shared" ref="Q18:AJ18" si="11">SUMIF($B:$B,$E18,Q:Q)</f>
        <v>0</v>
      </c>
      <c r="R18" s="197">
        <f t="shared" si="11"/>
        <v>0</v>
      </c>
      <c r="S18" s="197">
        <f t="shared" si="11"/>
        <v>0</v>
      </c>
      <c r="T18" s="197">
        <f t="shared" si="11"/>
        <v>0</v>
      </c>
      <c r="U18" s="197">
        <f t="shared" si="11"/>
        <v>0</v>
      </c>
      <c r="V18" s="197">
        <f t="shared" si="11"/>
        <v>0</v>
      </c>
      <c r="W18" s="197">
        <f t="shared" si="11"/>
        <v>0</v>
      </c>
      <c r="X18" s="197">
        <f t="shared" si="11"/>
        <v>0</v>
      </c>
      <c r="Y18" s="197">
        <f t="shared" si="11"/>
        <v>0</v>
      </c>
      <c r="Z18" s="197">
        <f t="shared" si="11"/>
        <v>0</v>
      </c>
      <c r="AA18" s="197">
        <f t="shared" si="11"/>
        <v>0</v>
      </c>
      <c r="AB18" s="197">
        <f t="shared" si="11"/>
        <v>0</v>
      </c>
      <c r="AC18" s="197">
        <f t="shared" si="11"/>
        <v>0</v>
      </c>
      <c r="AD18" s="197">
        <f t="shared" si="11"/>
        <v>0</v>
      </c>
      <c r="AE18" s="197">
        <f t="shared" si="11"/>
        <v>0</v>
      </c>
      <c r="AF18" s="197">
        <f t="shared" si="11"/>
        <v>0</v>
      </c>
      <c r="AG18" s="197">
        <f t="shared" si="11"/>
        <v>0</v>
      </c>
      <c r="AH18" s="197">
        <f t="shared" si="11"/>
        <v>0</v>
      </c>
      <c r="AI18" s="197">
        <f t="shared" si="11"/>
        <v>0</v>
      </c>
      <c r="AJ18" s="197">
        <f t="shared" si="11"/>
        <v>0</v>
      </c>
      <c r="AK18" s="706">
        <f t="shared" si="1"/>
        <v>0</v>
      </c>
    </row>
    <row r="19" spans="1:37" x14ac:dyDescent="0.3">
      <c r="B19" s="154" t="s">
        <v>682</v>
      </c>
      <c r="C19" s="160" t="s">
        <v>896</v>
      </c>
      <c r="D19" s="160" t="s">
        <v>681</v>
      </c>
      <c r="E19" s="160" t="s">
        <v>291</v>
      </c>
      <c r="F19" s="451">
        <v>101</v>
      </c>
      <c r="G19" s="166">
        <v>1</v>
      </c>
      <c r="H19" s="676">
        <f>G19*IF(E19="P",SUMIF(PASIVA!$L:$L,'CF calc'!$F19,PASIVA!M:M)-SUMIF(PASIVA!$L:$L,'CF calc'!$F19,PASIVA!N:N),IF(E19="A",SUMIF(AKTIVA!$M:$M,'CF calc'!$F19,AKTIVA!P:P)-SUMIF(AKTIVA!$M:$M,'CF calc'!$F19,AKTIVA!Q:Q),IF(E19="V",SUMIF(VYSLEDOVKA!L:L,F19,VYSLEDOVKA!M:M),"-")))</f>
        <v>0</v>
      </c>
      <c r="I19" s="639"/>
      <c r="J19" s="639"/>
      <c r="K19" s="639"/>
      <c r="L19" s="639"/>
      <c r="M19" s="639"/>
      <c r="N19" s="639"/>
      <c r="O19" s="639"/>
      <c r="P19" s="689">
        <f t="shared" si="7"/>
        <v>0</v>
      </c>
      <c r="Q19" s="673"/>
      <c r="R19" s="637"/>
      <c r="S19" s="639"/>
      <c r="T19" s="639"/>
      <c r="U19" s="637"/>
      <c r="V19" s="637"/>
      <c r="W19" s="639"/>
      <c r="X19" s="639"/>
      <c r="Y19" s="645"/>
      <c r="Z19" s="646"/>
      <c r="AA19" s="646"/>
      <c r="AB19" s="646"/>
      <c r="AC19" s="646"/>
      <c r="AD19" s="646"/>
      <c r="AE19" s="646"/>
      <c r="AF19" s="646"/>
      <c r="AG19" s="646"/>
      <c r="AH19" s="646"/>
      <c r="AI19" s="646"/>
      <c r="AJ19" s="649"/>
      <c r="AK19" s="704">
        <f t="shared" ref="AK19:AK104" si="12">SUM(P19:AJ19)</f>
        <v>0</v>
      </c>
    </row>
    <row r="20" spans="1:37" s="173" customFormat="1" x14ac:dyDescent="0.3">
      <c r="A20" s="205">
        <v>7</v>
      </c>
      <c r="B20" s="173" t="s">
        <v>680</v>
      </c>
      <c r="C20" s="174" t="s">
        <v>634</v>
      </c>
      <c r="D20" s="174" t="s">
        <v>677</v>
      </c>
      <c r="E20" s="173" t="s">
        <v>710</v>
      </c>
      <c r="F20" s="453"/>
      <c r="G20" s="175"/>
      <c r="H20" s="678">
        <f t="shared" ref="H20:O20" si="13">SUMIF($B:$B,$E20,H:H)</f>
        <v>0</v>
      </c>
      <c r="I20" s="197">
        <f t="shared" si="13"/>
        <v>0</v>
      </c>
      <c r="J20" s="197">
        <f t="shared" si="13"/>
        <v>0</v>
      </c>
      <c r="K20" s="197">
        <f t="shared" si="13"/>
        <v>0</v>
      </c>
      <c r="L20" s="197">
        <f t="shared" si="13"/>
        <v>0</v>
      </c>
      <c r="M20" s="197">
        <f t="shared" si="13"/>
        <v>0</v>
      </c>
      <c r="N20" s="197">
        <f t="shared" si="13"/>
        <v>0</v>
      </c>
      <c r="O20" s="197">
        <f t="shared" si="13"/>
        <v>0</v>
      </c>
      <c r="P20" s="691">
        <f t="shared" si="7"/>
        <v>0</v>
      </c>
      <c r="Q20" s="197">
        <f t="shared" ref="Q20:AJ20" si="14">SUMIF($B:$B,$E20,Q:Q)</f>
        <v>0</v>
      </c>
      <c r="R20" s="197">
        <f t="shared" si="14"/>
        <v>0</v>
      </c>
      <c r="S20" s="197">
        <f t="shared" si="14"/>
        <v>0</v>
      </c>
      <c r="T20" s="197">
        <f t="shared" si="14"/>
        <v>0</v>
      </c>
      <c r="U20" s="197">
        <f t="shared" si="14"/>
        <v>0</v>
      </c>
      <c r="V20" s="197">
        <f t="shared" si="14"/>
        <v>0</v>
      </c>
      <c r="W20" s="197">
        <f t="shared" si="14"/>
        <v>0</v>
      </c>
      <c r="X20" s="197">
        <f t="shared" si="14"/>
        <v>0</v>
      </c>
      <c r="Y20" s="197">
        <f t="shared" si="14"/>
        <v>0</v>
      </c>
      <c r="Z20" s="197">
        <f t="shared" si="14"/>
        <v>0</v>
      </c>
      <c r="AA20" s="197">
        <f t="shared" si="14"/>
        <v>0</v>
      </c>
      <c r="AB20" s="197">
        <f t="shared" si="14"/>
        <v>0</v>
      </c>
      <c r="AC20" s="197">
        <f t="shared" si="14"/>
        <v>0</v>
      </c>
      <c r="AD20" s="197">
        <f t="shared" si="14"/>
        <v>0</v>
      </c>
      <c r="AE20" s="197">
        <f t="shared" si="14"/>
        <v>0</v>
      </c>
      <c r="AF20" s="197">
        <f t="shared" si="14"/>
        <v>0</v>
      </c>
      <c r="AG20" s="197">
        <f t="shared" si="14"/>
        <v>0</v>
      </c>
      <c r="AH20" s="197">
        <f t="shared" si="14"/>
        <v>0</v>
      </c>
      <c r="AI20" s="197">
        <f t="shared" si="14"/>
        <v>0</v>
      </c>
      <c r="AJ20" s="197">
        <f t="shared" si="14"/>
        <v>0</v>
      </c>
      <c r="AK20" s="710">
        <f t="shared" si="1"/>
        <v>0</v>
      </c>
    </row>
    <row r="21" spans="1:37" x14ac:dyDescent="0.3">
      <c r="B21" s="154" t="s">
        <v>710</v>
      </c>
      <c r="C21" s="160" t="s">
        <v>897</v>
      </c>
      <c r="D21" s="160" t="s">
        <v>349</v>
      </c>
      <c r="E21" s="160" t="s">
        <v>678</v>
      </c>
      <c r="F21" s="451">
        <v>21</v>
      </c>
      <c r="G21" s="166">
        <v>-1</v>
      </c>
      <c r="H21" s="676">
        <f>G21*IF(E21="P",SUMIF(PASIVA!$L:$L,'CF calc'!$F21,PASIVA!M:M)-SUMIF(PASIVA!$L:$L,'CF calc'!$F21,PASIVA!N:N),IF(E21="A",SUMIF(AKTIVA!$M:$M,'CF calc'!$F21,AKTIVA!P:P)-SUMIF(AKTIVA!$M:$M,'CF calc'!$F21,AKTIVA!Q:Q),IF(E21="V",SUMIF(VYSLEDOVKA!L:L,F21,VYSLEDOVKA!M:M),"-")))</f>
        <v>0</v>
      </c>
      <c r="I21" s="639"/>
      <c r="J21" s="639"/>
      <c r="K21" s="639"/>
      <c r="L21" s="639"/>
      <c r="M21" s="639"/>
      <c r="N21" s="639"/>
      <c r="O21" s="639"/>
      <c r="P21" s="689">
        <f t="shared" si="7"/>
        <v>0</v>
      </c>
      <c r="Q21" s="639"/>
      <c r="R21" s="639"/>
      <c r="S21" s="639"/>
      <c r="T21" s="639"/>
      <c r="U21" s="639"/>
      <c r="V21" s="639"/>
      <c r="W21" s="639"/>
      <c r="X21" s="639"/>
      <c r="Y21" s="639"/>
      <c r="Z21" s="640"/>
      <c r="AA21" s="640"/>
      <c r="AB21" s="640"/>
      <c r="AC21" s="640"/>
      <c r="AD21" s="640"/>
      <c r="AE21" s="640"/>
      <c r="AF21" s="640"/>
      <c r="AG21" s="640"/>
      <c r="AH21" s="640"/>
      <c r="AI21" s="640"/>
      <c r="AJ21" s="699"/>
      <c r="AK21" s="704">
        <f t="shared" si="1"/>
        <v>0</v>
      </c>
    </row>
    <row r="22" spans="1:37" x14ac:dyDescent="0.3">
      <c r="B22" s="154" t="s">
        <v>710</v>
      </c>
      <c r="C22" s="160" t="s">
        <v>309</v>
      </c>
      <c r="D22" s="160" t="s">
        <v>349</v>
      </c>
      <c r="E22" s="160" t="s">
        <v>678</v>
      </c>
      <c r="F22" s="451">
        <v>25</v>
      </c>
      <c r="G22" s="166">
        <v>1</v>
      </c>
      <c r="H22" s="676">
        <f>G22*IF(E22="P",SUMIF(PASIVA!$L:$L,'CF calc'!$F22,PASIVA!M:M)-SUMIF(PASIVA!$L:$L,'CF calc'!$F22,PASIVA!N:N),IF(E22="A",SUMIF(AKTIVA!$M:$M,'CF calc'!$F22,AKTIVA!P:P)-SUMIF(AKTIVA!$M:$M,'CF calc'!$F22,AKTIVA!Q:Q),IF(E22="V",SUMIF(VYSLEDOVKA!L:L,F22,VYSLEDOVKA!M:M),"-")))</f>
        <v>0</v>
      </c>
      <c r="I22" s="639"/>
      <c r="J22" s="639"/>
      <c r="K22" s="639"/>
      <c r="L22" s="639"/>
      <c r="M22" s="639"/>
      <c r="N22" s="639"/>
      <c r="O22" s="639"/>
      <c r="P22" s="689">
        <f t="shared" si="7"/>
        <v>0</v>
      </c>
      <c r="Q22" s="639"/>
      <c r="R22" s="639"/>
      <c r="S22" s="639"/>
      <c r="T22" s="639"/>
      <c r="U22" s="639"/>
      <c r="V22" s="639"/>
      <c r="W22" s="639"/>
      <c r="X22" s="639"/>
      <c r="Y22" s="641"/>
      <c r="Z22" s="642"/>
      <c r="AA22" s="642"/>
      <c r="AB22" s="642"/>
      <c r="AC22" s="642"/>
      <c r="AD22" s="642"/>
      <c r="AE22" s="642"/>
      <c r="AF22" s="642"/>
      <c r="AG22" s="642"/>
      <c r="AH22" s="642"/>
      <c r="AI22" s="642"/>
      <c r="AJ22" s="700"/>
      <c r="AK22" s="704">
        <f t="shared" si="1"/>
        <v>0</v>
      </c>
    </row>
    <row r="23" spans="1:37" s="173" customFormat="1" x14ac:dyDescent="0.3">
      <c r="A23" s="205">
        <v>8</v>
      </c>
      <c r="B23" s="173" t="s">
        <v>680</v>
      </c>
      <c r="C23" s="174" t="s">
        <v>635</v>
      </c>
      <c r="D23" s="174" t="s">
        <v>677</v>
      </c>
      <c r="E23" s="174" t="s">
        <v>730</v>
      </c>
      <c r="F23" s="453"/>
      <c r="G23" s="175"/>
      <c r="H23" s="678">
        <f t="shared" ref="H23:O23" si="15">SUMIF($B:$B,$E23,H:H)</f>
        <v>0</v>
      </c>
      <c r="I23" s="197">
        <f t="shared" si="15"/>
        <v>0</v>
      </c>
      <c r="J23" s="197">
        <f t="shared" si="15"/>
        <v>0</v>
      </c>
      <c r="K23" s="197">
        <f t="shared" si="15"/>
        <v>0</v>
      </c>
      <c r="L23" s="197">
        <f t="shared" si="15"/>
        <v>0</v>
      </c>
      <c r="M23" s="197">
        <f t="shared" si="15"/>
        <v>0</v>
      </c>
      <c r="N23" s="197">
        <f t="shared" si="15"/>
        <v>0</v>
      </c>
      <c r="O23" s="197">
        <f t="shared" si="15"/>
        <v>0</v>
      </c>
      <c r="P23" s="691">
        <f t="shared" si="7"/>
        <v>0</v>
      </c>
      <c r="Q23" s="197">
        <f t="shared" ref="Q23:AJ23" si="16">SUMIF($B:$B,$E23,Q:Q)</f>
        <v>0</v>
      </c>
      <c r="R23" s="197">
        <f t="shared" si="16"/>
        <v>0</v>
      </c>
      <c r="S23" s="197">
        <f t="shared" si="16"/>
        <v>0</v>
      </c>
      <c r="T23" s="197">
        <f t="shared" si="16"/>
        <v>0</v>
      </c>
      <c r="U23" s="197">
        <f t="shared" si="16"/>
        <v>0</v>
      </c>
      <c r="V23" s="197">
        <f t="shared" si="16"/>
        <v>0</v>
      </c>
      <c r="W23" s="197">
        <f t="shared" si="16"/>
        <v>0</v>
      </c>
      <c r="X23" s="197">
        <f t="shared" si="16"/>
        <v>0</v>
      </c>
      <c r="Y23" s="197">
        <f t="shared" si="16"/>
        <v>0</v>
      </c>
      <c r="Z23" s="197">
        <f t="shared" si="16"/>
        <v>0</v>
      </c>
      <c r="AA23" s="197">
        <f t="shared" si="16"/>
        <v>0</v>
      </c>
      <c r="AB23" s="197">
        <f t="shared" si="16"/>
        <v>0</v>
      </c>
      <c r="AC23" s="197">
        <f t="shared" si="16"/>
        <v>0</v>
      </c>
      <c r="AD23" s="197">
        <f t="shared" si="16"/>
        <v>0</v>
      </c>
      <c r="AE23" s="197">
        <f t="shared" si="16"/>
        <v>0</v>
      </c>
      <c r="AF23" s="197">
        <f t="shared" si="16"/>
        <v>0</v>
      </c>
      <c r="AG23" s="197">
        <f t="shared" si="16"/>
        <v>0</v>
      </c>
      <c r="AH23" s="197">
        <f t="shared" si="16"/>
        <v>0</v>
      </c>
      <c r="AI23" s="197">
        <f t="shared" si="16"/>
        <v>0</v>
      </c>
      <c r="AJ23" s="197">
        <f t="shared" si="16"/>
        <v>0</v>
      </c>
      <c r="AK23" s="706">
        <f t="shared" si="1"/>
        <v>0</v>
      </c>
    </row>
    <row r="24" spans="1:37" x14ac:dyDescent="0.3">
      <c r="B24" s="154" t="s">
        <v>730</v>
      </c>
      <c r="C24" s="160" t="s">
        <v>987</v>
      </c>
      <c r="D24" s="160" t="s">
        <v>349</v>
      </c>
      <c r="E24" s="160" t="s">
        <v>678</v>
      </c>
      <c r="F24" s="451">
        <v>31</v>
      </c>
      <c r="G24" s="166">
        <v>1</v>
      </c>
      <c r="H24" s="676">
        <f>G24*IF(E24="P",SUMIF(PASIVA!$L:$L,'CF calc'!$F24,PASIVA!M:M)-SUMIF(PASIVA!$L:$L,'CF calc'!$F24,PASIVA!N:N),IF(E24="A",SUMIF(AKTIVA!$M:$M,'CF calc'!$F24,AKTIVA!P:P)-SUMIF(AKTIVA!$M:$M,'CF calc'!$F24,AKTIVA!Q:Q),IF(E24="V",SUMIF(VYSLEDOVKA!L:L,F24,VYSLEDOVKA!M:M),"-")))</f>
        <v>0</v>
      </c>
      <c r="I24" s="673"/>
      <c r="J24" s="639"/>
      <c r="K24" s="639"/>
      <c r="L24" s="639"/>
      <c r="M24" s="639"/>
      <c r="N24" s="639"/>
      <c r="O24" s="639"/>
      <c r="P24" s="689">
        <f t="shared" si="7"/>
        <v>0</v>
      </c>
      <c r="Q24" s="639"/>
      <c r="R24" s="639"/>
      <c r="S24" s="639"/>
      <c r="T24" s="639"/>
      <c r="U24" s="639"/>
      <c r="V24" s="639"/>
      <c r="W24" s="639"/>
      <c r="X24" s="639"/>
      <c r="Y24" s="639"/>
      <c r="Z24" s="640"/>
      <c r="AA24" s="640"/>
      <c r="AB24" s="640"/>
      <c r="AC24" s="640"/>
      <c r="AD24" s="640"/>
      <c r="AE24" s="640"/>
      <c r="AF24" s="640"/>
      <c r="AG24" s="640"/>
      <c r="AH24" s="640"/>
      <c r="AI24" s="640"/>
      <c r="AJ24" s="699"/>
      <c r="AK24" s="704">
        <f t="shared" si="1"/>
        <v>0</v>
      </c>
    </row>
    <row r="25" spans="1:37" x14ac:dyDescent="0.3">
      <c r="B25" s="154" t="s">
        <v>730</v>
      </c>
      <c r="C25" s="160" t="s">
        <v>323</v>
      </c>
      <c r="D25" s="160" t="s">
        <v>349</v>
      </c>
      <c r="E25" s="160" t="s">
        <v>678</v>
      </c>
      <c r="F25" s="451">
        <v>35</v>
      </c>
      <c r="G25" s="166">
        <v>1</v>
      </c>
      <c r="I25" s="639"/>
      <c r="J25" s="639"/>
      <c r="K25" s="639"/>
      <c r="L25" s="639"/>
      <c r="M25" s="639"/>
      <c r="N25" s="639"/>
      <c r="O25" s="639"/>
      <c r="P25" s="689"/>
      <c r="Q25" s="639"/>
      <c r="R25" s="639"/>
      <c r="S25" s="639"/>
      <c r="T25" s="639"/>
      <c r="U25" s="639"/>
      <c r="V25" s="639"/>
      <c r="W25" s="639"/>
      <c r="X25" s="639"/>
      <c r="Y25" s="641"/>
      <c r="Z25" s="642"/>
      <c r="AA25" s="642"/>
      <c r="AB25" s="642"/>
      <c r="AC25" s="642"/>
      <c r="AD25" s="642"/>
      <c r="AE25" s="642"/>
      <c r="AF25" s="642"/>
      <c r="AG25" s="642"/>
      <c r="AH25" s="642"/>
      <c r="AI25" s="642"/>
      <c r="AJ25" s="700"/>
      <c r="AK25" s="711"/>
    </row>
    <row r="26" spans="1:37" s="173" customFormat="1" x14ac:dyDescent="0.3">
      <c r="A26" s="205">
        <v>9</v>
      </c>
      <c r="B26" s="173" t="s">
        <v>680</v>
      </c>
      <c r="C26" s="174" t="s">
        <v>636</v>
      </c>
      <c r="D26" s="174" t="s">
        <v>677</v>
      </c>
      <c r="E26" s="174" t="s">
        <v>731</v>
      </c>
      <c r="F26" s="453"/>
      <c r="G26" s="175"/>
      <c r="H26" s="678">
        <f t="shared" ref="H26:O26" si="17">SUMIF($B:$B,$E26,H:H)</f>
        <v>0</v>
      </c>
      <c r="I26" s="197">
        <f t="shared" si="17"/>
        <v>0</v>
      </c>
      <c r="J26" s="197">
        <f t="shared" si="17"/>
        <v>0</v>
      </c>
      <c r="K26" s="197">
        <f t="shared" si="17"/>
        <v>0</v>
      </c>
      <c r="L26" s="197">
        <f t="shared" si="17"/>
        <v>0</v>
      </c>
      <c r="M26" s="197">
        <f t="shared" si="17"/>
        <v>0</v>
      </c>
      <c r="N26" s="197">
        <f t="shared" si="17"/>
        <v>0</v>
      </c>
      <c r="O26" s="197">
        <f t="shared" si="17"/>
        <v>0</v>
      </c>
      <c r="P26" s="691">
        <f t="shared" si="7"/>
        <v>0</v>
      </c>
      <c r="Q26" s="197">
        <f t="shared" ref="Q26:AJ26" si="18">SUMIF($B:$B,$E26,Q:Q)</f>
        <v>0</v>
      </c>
      <c r="R26" s="197">
        <f t="shared" si="18"/>
        <v>0</v>
      </c>
      <c r="S26" s="197">
        <f t="shared" si="18"/>
        <v>0</v>
      </c>
      <c r="T26" s="197">
        <f t="shared" si="18"/>
        <v>0</v>
      </c>
      <c r="U26" s="197">
        <f t="shared" si="18"/>
        <v>0</v>
      </c>
      <c r="V26" s="197">
        <f t="shared" si="18"/>
        <v>0</v>
      </c>
      <c r="W26" s="197">
        <f t="shared" si="18"/>
        <v>0</v>
      </c>
      <c r="X26" s="197">
        <f t="shared" si="18"/>
        <v>0</v>
      </c>
      <c r="Y26" s="197">
        <f t="shared" si="18"/>
        <v>0</v>
      </c>
      <c r="Z26" s="197">
        <f t="shared" si="18"/>
        <v>0</v>
      </c>
      <c r="AA26" s="197">
        <f t="shared" si="18"/>
        <v>0</v>
      </c>
      <c r="AB26" s="197">
        <f t="shared" si="18"/>
        <v>0</v>
      </c>
      <c r="AC26" s="197">
        <f t="shared" si="18"/>
        <v>0</v>
      </c>
      <c r="AD26" s="197">
        <f t="shared" si="18"/>
        <v>0</v>
      </c>
      <c r="AE26" s="197">
        <f t="shared" si="18"/>
        <v>0</v>
      </c>
      <c r="AF26" s="197">
        <f t="shared" si="18"/>
        <v>0</v>
      </c>
      <c r="AG26" s="197">
        <f t="shared" si="18"/>
        <v>0</v>
      </c>
      <c r="AH26" s="197">
        <f t="shared" si="18"/>
        <v>0</v>
      </c>
      <c r="AI26" s="197">
        <f t="shared" si="18"/>
        <v>0</v>
      </c>
      <c r="AJ26" s="197">
        <f t="shared" si="18"/>
        <v>0</v>
      </c>
      <c r="AK26" s="706">
        <f t="shared" si="1"/>
        <v>0</v>
      </c>
    </row>
    <row r="27" spans="1:37" x14ac:dyDescent="0.3">
      <c r="B27" s="154" t="s">
        <v>731</v>
      </c>
      <c r="C27" s="160" t="s">
        <v>324</v>
      </c>
      <c r="D27" s="160" t="s">
        <v>349</v>
      </c>
      <c r="E27" s="160" t="s">
        <v>678</v>
      </c>
      <c r="F27" s="451">
        <v>39</v>
      </c>
      <c r="G27" s="166">
        <v>-1</v>
      </c>
      <c r="H27" s="676">
        <f>G27*IF(E27="P",SUMIF(PASIVA!$L:$L,'CF calc'!$F27,PASIVA!M:M)-SUMIF(PASIVA!$L:$L,'CF calc'!$F27,PASIVA!N:N),IF(E27="A",SUMIF(AKTIVA!$M:$M,'CF calc'!$F27,AKTIVA!P:P)-SUMIF(AKTIVA!$M:$M,'CF calc'!$F27,AKTIVA!Q:Q),IF(E27="V",SUMIF(VYSLEDOVKA!L:L,F27,VYSLEDOVKA!M:M),"-")))</f>
        <v>0</v>
      </c>
      <c r="I27" s="639"/>
      <c r="J27" s="639"/>
      <c r="K27" s="639"/>
      <c r="L27" s="639"/>
      <c r="M27" s="639"/>
      <c r="N27" s="639"/>
      <c r="O27" s="639"/>
      <c r="P27" s="695"/>
      <c r="Q27" s="639"/>
      <c r="R27" s="639"/>
      <c r="S27" s="639"/>
      <c r="T27" s="639"/>
      <c r="U27" s="639"/>
      <c r="V27" s="639"/>
      <c r="W27" s="639"/>
      <c r="X27" s="639"/>
      <c r="Y27" s="639"/>
      <c r="Z27" s="637"/>
      <c r="AA27" s="640"/>
      <c r="AB27" s="640"/>
      <c r="AC27" s="640"/>
      <c r="AD27" s="640"/>
      <c r="AE27" s="640"/>
      <c r="AF27" s="640"/>
      <c r="AG27" s="640"/>
      <c r="AH27" s="640"/>
      <c r="AI27" s="640"/>
      <c r="AJ27" s="699"/>
      <c r="AK27" s="704">
        <f t="shared" si="1"/>
        <v>0</v>
      </c>
    </row>
    <row r="28" spans="1:37" x14ac:dyDescent="0.3">
      <c r="B28" s="154" t="s">
        <v>731</v>
      </c>
      <c r="C28" s="160" t="s">
        <v>325</v>
      </c>
      <c r="D28" s="160" t="s">
        <v>349</v>
      </c>
      <c r="E28" s="160" t="s">
        <v>678</v>
      </c>
      <c r="F28" s="451">
        <v>43</v>
      </c>
      <c r="G28" s="166">
        <v>1</v>
      </c>
      <c r="H28" s="676">
        <f>G28*IF(E28="P",SUMIF(PASIVA!$L:$L,'CF calc'!$F28,PASIVA!M:M)-SUMIF(PASIVA!$L:$L,'CF calc'!$F28,PASIVA!N:N),IF(E28="A",SUMIF(AKTIVA!$M:$M,'CF calc'!$F28,AKTIVA!P:P)-SUMIF(AKTIVA!$M:$M,'CF calc'!$F28,AKTIVA!Q:Q),IF(E28="V",SUMIF(VYSLEDOVKA!L:L,F28,VYSLEDOVKA!M:M),"-")))</f>
        <v>0</v>
      </c>
      <c r="I28" s="639"/>
      <c r="J28" s="639"/>
      <c r="K28" s="639"/>
      <c r="L28" s="639"/>
      <c r="M28" s="639"/>
      <c r="N28" s="639"/>
      <c r="O28" s="639"/>
      <c r="P28" s="695"/>
      <c r="Q28" s="639"/>
      <c r="R28" s="639"/>
      <c r="S28" s="639"/>
      <c r="T28" s="639"/>
      <c r="U28" s="639"/>
      <c r="V28" s="639"/>
      <c r="W28" s="639"/>
      <c r="X28" s="639"/>
      <c r="Y28" s="641"/>
      <c r="Z28" s="638"/>
      <c r="AA28" s="642"/>
      <c r="AB28" s="642"/>
      <c r="AC28" s="642"/>
      <c r="AD28" s="642"/>
      <c r="AE28" s="642"/>
      <c r="AF28" s="642"/>
      <c r="AG28" s="642"/>
      <c r="AH28" s="642"/>
      <c r="AI28" s="642"/>
      <c r="AJ28" s="700"/>
      <c r="AK28" s="704">
        <f t="shared" si="1"/>
        <v>0</v>
      </c>
    </row>
    <row r="29" spans="1:37" s="173" customFormat="1" x14ac:dyDescent="0.3">
      <c r="A29" s="205">
        <v>10</v>
      </c>
      <c r="B29" s="173" t="s">
        <v>680</v>
      </c>
      <c r="C29" s="174" t="s">
        <v>637</v>
      </c>
      <c r="D29" s="174" t="s">
        <v>677</v>
      </c>
      <c r="E29" s="174" t="s">
        <v>732</v>
      </c>
      <c r="F29" s="453"/>
      <c r="G29" s="175"/>
      <c r="H29" s="678">
        <f t="shared" ref="H29:O29" si="19">SUMIF($B:$B,$E29,H:H)</f>
        <v>0</v>
      </c>
      <c r="I29" s="197">
        <f t="shared" si="19"/>
        <v>0</v>
      </c>
      <c r="J29" s="197">
        <f t="shared" si="19"/>
        <v>0</v>
      </c>
      <c r="K29" s="197">
        <f t="shared" si="19"/>
        <v>0</v>
      </c>
      <c r="L29" s="197">
        <f t="shared" si="19"/>
        <v>0</v>
      </c>
      <c r="M29" s="197">
        <f t="shared" si="19"/>
        <v>0</v>
      </c>
      <c r="N29" s="197">
        <f t="shared" si="19"/>
        <v>0</v>
      </c>
      <c r="O29" s="197">
        <f t="shared" si="19"/>
        <v>0</v>
      </c>
      <c r="P29" s="691">
        <f t="shared" si="7"/>
        <v>0</v>
      </c>
      <c r="Q29" s="197">
        <f t="shared" ref="Q29:AJ29" si="20">SUMIF($B:$B,$E29,Q:Q)</f>
        <v>0</v>
      </c>
      <c r="R29" s="197">
        <f t="shared" si="20"/>
        <v>0</v>
      </c>
      <c r="S29" s="197">
        <f t="shared" si="20"/>
        <v>0</v>
      </c>
      <c r="T29" s="197">
        <f t="shared" si="20"/>
        <v>0</v>
      </c>
      <c r="U29" s="197">
        <f t="shared" si="20"/>
        <v>0</v>
      </c>
      <c r="V29" s="197">
        <f t="shared" si="20"/>
        <v>0</v>
      </c>
      <c r="W29" s="197">
        <f t="shared" si="20"/>
        <v>0</v>
      </c>
      <c r="X29" s="197">
        <f t="shared" si="20"/>
        <v>0</v>
      </c>
      <c r="Y29" s="197">
        <f t="shared" si="20"/>
        <v>0</v>
      </c>
      <c r="Z29" s="197">
        <f t="shared" si="20"/>
        <v>0</v>
      </c>
      <c r="AA29" s="197">
        <f t="shared" si="20"/>
        <v>0</v>
      </c>
      <c r="AB29" s="197">
        <f t="shared" si="20"/>
        <v>0</v>
      </c>
      <c r="AC29" s="197">
        <f t="shared" si="20"/>
        <v>0</v>
      </c>
      <c r="AD29" s="197">
        <f t="shared" si="20"/>
        <v>0</v>
      </c>
      <c r="AE29" s="197">
        <f t="shared" si="20"/>
        <v>0</v>
      </c>
      <c r="AF29" s="197">
        <f t="shared" si="20"/>
        <v>0</v>
      </c>
      <c r="AG29" s="197">
        <f t="shared" si="20"/>
        <v>0</v>
      </c>
      <c r="AH29" s="197">
        <f t="shared" si="20"/>
        <v>0</v>
      </c>
      <c r="AI29" s="197">
        <f t="shared" si="20"/>
        <v>0</v>
      </c>
      <c r="AJ29" s="197">
        <f t="shared" si="20"/>
        <v>0</v>
      </c>
      <c r="AK29" s="706">
        <f t="shared" si="1"/>
        <v>0</v>
      </c>
    </row>
    <row r="30" spans="1:37" x14ac:dyDescent="0.3">
      <c r="B30" s="154" t="s">
        <v>732</v>
      </c>
      <c r="C30" s="160" t="s">
        <v>898</v>
      </c>
      <c r="H30" s="676" t="s">
        <v>735</v>
      </c>
      <c r="I30" s="673"/>
      <c r="J30" s="637"/>
      <c r="K30" s="639"/>
      <c r="L30" s="639"/>
      <c r="M30" s="639"/>
      <c r="N30" s="639"/>
      <c r="O30" s="639"/>
      <c r="P30" s="689">
        <f t="shared" si="7"/>
        <v>0</v>
      </c>
      <c r="Q30" s="639"/>
      <c r="R30" s="639"/>
      <c r="S30" s="637"/>
      <c r="T30" s="639"/>
      <c r="U30" s="639"/>
      <c r="V30" s="639"/>
      <c r="W30" s="639"/>
      <c r="X30" s="639"/>
      <c r="Y30" s="639"/>
      <c r="Z30" s="640"/>
      <c r="AA30" s="640"/>
      <c r="AB30" s="637"/>
      <c r="AC30" s="637"/>
      <c r="AD30" s="637"/>
      <c r="AE30" s="640"/>
      <c r="AF30" s="640"/>
      <c r="AG30" s="640"/>
      <c r="AH30" s="640"/>
      <c r="AI30" s="640"/>
      <c r="AJ30" s="699"/>
      <c r="AK30" s="704">
        <f t="shared" si="1"/>
        <v>0</v>
      </c>
    </row>
    <row r="31" spans="1:37" x14ac:dyDescent="0.3">
      <c r="B31" s="154" t="s">
        <v>732</v>
      </c>
      <c r="C31" s="160" t="s">
        <v>899</v>
      </c>
      <c r="H31" s="676" t="s">
        <v>735</v>
      </c>
      <c r="I31" s="639"/>
      <c r="J31" s="639"/>
      <c r="K31" s="639"/>
      <c r="L31" s="639"/>
      <c r="M31" s="639"/>
      <c r="N31" s="639"/>
      <c r="O31" s="639"/>
      <c r="P31" s="689">
        <f t="shared" ref="P31:P32" si="21">SUM(H31:O31)</f>
        <v>0</v>
      </c>
      <c r="Q31" s="639"/>
      <c r="R31" s="639"/>
      <c r="S31" s="639"/>
      <c r="T31" s="639"/>
      <c r="U31" s="639"/>
      <c r="V31" s="639"/>
      <c r="W31" s="639"/>
      <c r="X31" s="639"/>
      <c r="Y31" s="643"/>
      <c r="Z31" s="644"/>
      <c r="AA31" s="644"/>
      <c r="AB31" s="644"/>
      <c r="AC31" s="644"/>
      <c r="AD31" s="644"/>
      <c r="AE31" s="644"/>
      <c r="AF31" s="644"/>
      <c r="AG31" s="644"/>
      <c r="AH31" s="644"/>
      <c r="AI31" s="644"/>
      <c r="AJ31" s="701"/>
      <c r="AK31" s="704">
        <f t="shared" ref="AK31:AK32" si="22">SUM(P31:AJ31)</f>
        <v>0</v>
      </c>
    </row>
    <row r="32" spans="1:37" x14ac:dyDescent="0.3">
      <c r="B32" s="154" t="s">
        <v>732</v>
      </c>
      <c r="C32" s="160" t="s">
        <v>900</v>
      </c>
      <c r="H32" s="676" t="s">
        <v>735</v>
      </c>
      <c r="I32" s="645"/>
      <c r="J32" s="645"/>
      <c r="K32" s="645"/>
      <c r="L32" s="645"/>
      <c r="M32" s="645"/>
      <c r="N32" s="645"/>
      <c r="O32" s="645"/>
      <c r="P32" s="689">
        <f t="shared" si="21"/>
        <v>0</v>
      </c>
      <c r="Q32" s="641"/>
      <c r="R32" s="641"/>
      <c r="S32" s="641"/>
      <c r="T32" s="641"/>
      <c r="U32" s="641"/>
      <c r="V32" s="641"/>
      <c r="W32" s="641"/>
      <c r="X32" s="641"/>
      <c r="Y32" s="641"/>
      <c r="Z32" s="642"/>
      <c r="AA32" s="642"/>
      <c r="AB32" s="642"/>
      <c r="AC32" s="642"/>
      <c r="AD32" s="642"/>
      <c r="AE32" s="642"/>
      <c r="AF32" s="642"/>
      <c r="AG32" s="642"/>
      <c r="AH32" s="642"/>
      <c r="AI32" s="642"/>
      <c r="AJ32" s="700"/>
      <c r="AK32" s="704">
        <f t="shared" si="22"/>
        <v>0</v>
      </c>
    </row>
    <row r="33" spans="1:37" s="179" customFormat="1" x14ac:dyDescent="0.3">
      <c r="A33" s="208">
        <v>11</v>
      </c>
      <c r="C33" s="180" t="s">
        <v>712</v>
      </c>
      <c r="D33" s="180" t="s">
        <v>683</v>
      </c>
      <c r="E33" s="180" t="s">
        <v>680</v>
      </c>
      <c r="F33" s="457"/>
      <c r="G33" s="181"/>
      <c r="H33" s="682">
        <f t="shared" ref="H33:O33" si="23">H9+SUMIF($B:$B,$E33,H:H)</f>
        <v>0</v>
      </c>
      <c r="I33" s="672">
        <f t="shared" si="23"/>
        <v>0</v>
      </c>
      <c r="J33" s="672">
        <f t="shared" si="23"/>
        <v>0</v>
      </c>
      <c r="K33" s="672">
        <f t="shared" si="23"/>
        <v>0</v>
      </c>
      <c r="L33" s="672">
        <f t="shared" si="23"/>
        <v>0</v>
      </c>
      <c r="M33" s="672">
        <f t="shared" si="23"/>
        <v>0</v>
      </c>
      <c r="N33" s="672">
        <f t="shared" si="23"/>
        <v>0</v>
      </c>
      <c r="O33" s="672">
        <f t="shared" si="23"/>
        <v>0</v>
      </c>
      <c r="P33" s="696">
        <f t="shared" si="2"/>
        <v>0</v>
      </c>
      <c r="Q33" s="672">
        <f t="shared" ref="Q33:X33" si="24">Q9+SUMIF($B:$B,$E33,Q:Q)</f>
        <v>0</v>
      </c>
      <c r="R33" s="672">
        <f t="shared" si="24"/>
        <v>0</v>
      </c>
      <c r="S33" s="672">
        <f t="shared" si="24"/>
        <v>0</v>
      </c>
      <c r="T33" s="672">
        <f t="shared" si="24"/>
        <v>0</v>
      </c>
      <c r="U33" s="672">
        <f t="shared" si="24"/>
        <v>0</v>
      </c>
      <c r="V33" s="672">
        <f t="shared" si="24"/>
        <v>0</v>
      </c>
      <c r="W33" s="672">
        <f t="shared" si="24"/>
        <v>0</v>
      </c>
      <c r="X33" s="672">
        <f t="shared" si="24"/>
        <v>0</v>
      </c>
      <c r="Y33" s="672">
        <f t="shared" ref="Y33:AJ33" si="25">Y9+SUMIF($B:$B,$E33,Y:Y)</f>
        <v>0</v>
      </c>
      <c r="Z33" s="672">
        <f t="shared" si="25"/>
        <v>0</v>
      </c>
      <c r="AA33" s="672">
        <f t="shared" si="25"/>
        <v>0</v>
      </c>
      <c r="AB33" s="672">
        <f t="shared" si="25"/>
        <v>0</v>
      </c>
      <c r="AC33" s="672">
        <f t="shared" si="25"/>
        <v>0</v>
      </c>
      <c r="AD33" s="672">
        <f t="shared" si="25"/>
        <v>0</v>
      </c>
      <c r="AE33" s="672">
        <f t="shared" si="25"/>
        <v>0</v>
      </c>
      <c r="AF33" s="672">
        <f t="shared" si="25"/>
        <v>0</v>
      </c>
      <c r="AG33" s="672">
        <f t="shared" si="25"/>
        <v>0</v>
      </c>
      <c r="AH33" s="672">
        <f t="shared" si="25"/>
        <v>0</v>
      </c>
      <c r="AI33" s="672">
        <f t="shared" si="25"/>
        <v>0</v>
      </c>
      <c r="AJ33" s="672">
        <f t="shared" si="25"/>
        <v>0</v>
      </c>
      <c r="AK33" s="712">
        <f t="shared" si="1"/>
        <v>0</v>
      </c>
    </row>
    <row r="34" spans="1:37" s="153" customFormat="1" x14ac:dyDescent="0.3">
      <c r="A34" s="209"/>
      <c r="C34" s="168"/>
      <c r="D34" s="168"/>
      <c r="E34" s="168"/>
      <c r="F34" s="455"/>
      <c r="G34" s="169"/>
      <c r="H34" s="680"/>
      <c r="I34" s="161"/>
      <c r="J34" s="161"/>
      <c r="K34" s="161"/>
      <c r="L34" s="161"/>
      <c r="M34" s="161"/>
      <c r="N34" s="161"/>
      <c r="O34" s="161"/>
      <c r="P34" s="693"/>
      <c r="Q34" s="161"/>
      <c r="R34" s="161"/>
      <c r="S34" s="161"/>
      <c r="T34" s="161"/>
      <c r="U34" s="161"/>
      <c r="V34" s="161"/>
      <c r="W34" s="161"/>
      <c r="X34" s="161"/>
      <c r="Y34" s="161"/>
      <c r="Z34" s="161"/>
      <c r="AA34" s="161"/>
      <c r="AB34" s="161"/>
      <c r="AC34" s="161"/>
      <c r="AD34" s="161"/>
      <c r="AE34" s="161"/>
      <c r="AF34" s="161"/>
      <c r="AG34" s="161"/>
      <c r="AH34" s="161"/>
      <c r="AI34" s="161"/>
      <c r="AJ34" s="161"/>
      <c r="AK34" s="708">
        <f t="shared" si="1"/>
        <v>0</v>
      </c>
    </row>
    <row r="35" spans="1:37" s="176" customFormat="1" x14ac:dyDescent="0.3">
      <c r="A35" s="207">
        <v>12</v>
      </c>
      <c r="C35" s="177" t="s">
        <v>638</v>
      </c>
      <c r="D35" s="177" t="s">
        <v>677</v>
      </c>
      <c r="E35" s="177" t="s">
        <v>684</v>
      </c>
      <c r="F35" s="458"/>
      <c r="G35" s="178"/>
      <c r="H35" s="683">
        <f t="shared" ref="H35:O36" si="26">SUMIF($B:$B,$E35,H:H)</f>
        <v>0</v>
      </c>
      <c r="I35" s="199">
        <f t="shared" si="26"/>
        <v>0</v>
      </c>
      <c r="J35" s="199">
        <f t="shared" si="26"/>
        <v>0</v>
      </c>
      <c r="K35" s="199">
        <f t="shared" si="26"/>
        <v>0</v>
      </c>
      <c r="L35" s="199">
        <f t="shared" si="26"/>
        <v>0</v>
      </c>
      <c r="M35" s="199">
        <f t="shared" si="26"/>
        <v>0</v>
      </c>
      <c r="N35" s="199">
        <f t="shared" si="26"/>
        <v>0</v>
      </c>
      <c r="O35" s="199">
        <f t="shared" si="26"/>
        <v>0</v>
      </c>
      <c r="P35" s="689">
        <f t="shared" ref="P35:P53" si="27">SUM(H35:O35)</f>
        <v>0</v>
      </c>
      <c r="Q35" s="199">
        <f t="shared" ref="Q35:Z36" si="28">SUMIF($B:$B,$E35,Q:Q)</f>
        <v>0</v>
      </c>
      <c r="R35" s="199">
        <f t="shared" si="28"/>
        <v>0</v>
      </c>
      <c r="S35" s="199">
        <f t="shared" si="28"/>
        <v>0</v>
      </c>
      <c r="T35" s="199">
        <f t="shared" si="28"/>
        <v>0</v>
      </c>
      <c r="U35" s="199">
        <f t="shared" si="28"/>
        <v>0</v>
      </c>
      <c r="V35" s="199">
        <f t="shared" si="28"/>
        <v>0</v>
      </c>
      <c r="W35" s="199">
        <f t="shared" si="28"/>
        <v>0</v>
      </c>
      <c r="X35" s="199">
        <f t="shared" si="28"/>
        <v>0</v>
      </c>
      <c r="Y35" s="199">
        <f t="shared" si="28"/>
        <v>0</v>
      </c>
      <c r="Z35" s="199">
        <f t="shared" si="28"/>
        <v>0</v>
      </c>
      <c r="AA35" s="199">
        <f t="shared" ref="AA35:AJ36" si="29">SUMIF($B:$B,$E35,AA:AA)</f>
        <v>0</v>
      </c>
      <c r="AB35" s="199">
        <f t="shared" si="29"/>
        <v>0</v>
      </c>
      <c r="AC35" s="199">
        <f t="shared" si="29"/>
        <v>0</v>
      </c>
      <c r="AD35" s="199">
        <f t="shared" si="29"/>
        <v>0</v>
      </c>
      <c r="AE35" s="199">
        <f t="shared" si="29"/>
        <v>0</v>
      </c>
      <c r="AF35" s="199">
        <f t="shared" si="29"/>
        <v>0</v>
      </c>
      <c r="AG35" s="199">
        <f t="shared" si="29"/>
        <v>0</v>
      </c>
      <c r="AH35" s="199">
        <f t="shared" si="29"/>
        <v>0</v>
      </c>
      <c r="AI35" s="199">
        <f t="shared" si="29"/>
        <v>0</v>
      </c>
      <c r="AJ35" s="199">
        <f t="shared" si="29"/>
        <v>0</v>
      </c>
      <c r="AK35" s="708">
        <f t="shared" si="1"/>
        <v>0</v>
      </c>
    </row>
    <row r="36" spans="1:37" s="173" customFormat="1" x14ac:dyDescent="0.3">
      <c r="A36" s="205">
        <v>13</v>
      </c>
      <c r="B36" s="173" t="s">
        <v>684</v>
      </c>
      <c r="C36" s="174" t="s">
        <v>713</v>
      </c>
      <c r="D36" s="174" t="s">
        <v>677</v>
      </c>
      <c r="E36" s="174" t="s">
        <v>714</v>
      </c>
      <c r="F36" s="453"/>
      <c r="G36" s="175"/>
      <c r="H36" s="678">
        <f t="shared" si="26"/>
        <v>0</v>
      </c>
      <c r="I36" s="197">
        <f t="shared" si="26"/>
        <v>0</v>
      </c>
      <c r="J36" s="197">
        <f t="shared" si="26"/>
        <v>0</v>
      </c>
      <c r="K36" s="197">
        <f t="shared" si="26"/>
        <v>0</v>
      </c>
      <c r="L36" s="197">
        <f t="shared" si="26"/>
        <v>0</v>
      </c>
      <c r="M36" s="197">
        <f t="shared" si="26"/>
        <v>0</v>
      </c>
      <c r="N36" s="197">
        <f t="shared" si="26"/>
        <v>0</v>
      </c>
      <c r="O36" s="197">
        <f t="shared" si="26"/>
        <v>0</v>
      </c>
      <c r="P36" s="691">
        <f t="shared" si="27"/>
        <v>0</v>
      </c>
      <c r="Q36" s="197">
        <f t="shared" si="28"/>
        <v>0</v>
      </c>
      <c r="R36" s="197">
        <f t="shared" si="28"/>
        <v>0</v>
      </c>
      <c r="S36" s="197">
        <f t="shared" si="28"/>
        <v>0</v>
      </c>
      <c r="T36" s="197">
        <f t="shared" si="28"/>
        <v>0</v>
      </c>
      <c r="U36" s="197">
        <f t="shared" si="28"/>
        <v>0</v>
      </c>
      <c r="V36" s="197">
        <f t="shared" si="28"/>
        <v>0</v>
      </c>
      <c r="W36" s="197">
        <f t="shared" si="28"/>
        <v>0</v>
      </c>
      <c r="X36" s="197">
        <f t="shared" si="28"/>
        <v>0</v>
      </c>
      <c r="Y36" s="197">
        <f t="shared" si="28"/>
        <v>0</v>
      </c>
      <c r="Z36" s="197">
        <f t="shared" si="28"/>
        <v>0</v>
      </c>
      <c r="AA36" s="197">
        <f t="shared" si="29"/>
        <v>0</v>
      </c>
      <c r="AB36" s="197">
        <f t="shared" si="29"/>
        <v>0</v>
      </c>
      <c r="AC36" s="197">
        <f t="shared" si="29"/>
        <v>0</v>
      </c>
      <c r="AD36" s="197">
        <f t="shared" si="29"/>
        <v>0</v>
      </c>
      <c r="AE36" s="197">
        <f t="shared" si="29"/>
        <v>0</v>
      </c>
      <c r="AF36" s="197">
        <f t="shared" si="29"/>
        <v>0</v>
      </c>
      <c r="AG36" s="197">
        <f t="shared" si="29"/>
        <v>0</v>
      </c>
      <c r="AH36" s="197">
        <f t="shared" si="29"/>
        <v>0</v>
      </c>
      <c r="AI36" s="197">
        <f t="shared" si="29"/>
        <v>0</v>
      </c>
      <c r="AJ36" s="197">
        <f t="shared" si="29"/>
        <v>0</v>
      </c>
      <c r="AK36" s="704">
        <f t="shared" si="1"/>
        <v>0</v>
      </c>
    </row>
    <row r="37" spans="1:37" x14ac:dyDescent="0.3">
      <c r="B37" s="154" t="s">
        <v>714</v>
      </c>
      <c r="C37" s="160" t="s">
        <v>901</v>
      </c>
      <c r="D37" s="160" t="s">
        <v>681</v>
      </c>
      <c r="E37" s="160" t="s">
        <v>279</v>
      </c>
      <c r="F37" s="451">
        <v>57</v>
      </c>
      <c r="G37" s="166">
        <v>-1</v>
      </c>
      <c r="H37" s="676">
        <f>G37*IF(E37="P",SUMIF(PASIVA!$L:$L,'CF calc'!$F37,PASIVA!M:M)-SUMIF(PASIVA!$L:$L,'CF calc'!$F37,PASIVA!N:N),IF(E37="A",SUMIF(AKTIVA!$M:$M,'CF calc'!$F37,AKTIVA!P:P)-SUMIF(AKTIVA!$M:$M,'CF calc'!$F37,AKTIVA!Q:Q),IF(E37="V",SUMIF(VYSLEDOVKA!L:L,F37,VYSLEDOVKA!M:M),"-")))</f>
        <v>0</v>
      </c>
      <c r="I37" s="639"/>
      <c r="J37" s="639"/>
      <c r="K37" s="639"/>
      <c r="L37" s="639"/>
      <c r="M37" s="639"/>
      <c r="N37" s="639"/>
      <c r="O37" s="639"/>
      <c r="P37" s="689">
        <f t="shared" si="27"/>
        <v>0</v>
      </c>
      <c r="Q37" s="673"/>
      <c r="R37" s="639"/>
      <c r="S37" s="639"/>
      <c r="T37" s="639"/>
      <c r="U37" s="637"/>
      <c r="V37" s="637"/>
      <c r="W37" s="637"/>
      <c r="X37" s="639"/>
      <c r="Y37" s="639"/>
      <c r="Z37" s="640"/>
      <c r="AA37" s="640"/>
      <c r="AB37" s="640"/>
      <c r="AC37" s="637"/>
      <c r="AD37" s="640"/>
      <c r="AE37" s="637"/>
      <c r="AF37" s="640"/>
      <c r="AG37" s="640"/>
      <c r="AH37" s="640"/>
      <c r="AI37" s="640"/>
      <c r="AJ37" s="699"/>
      <c r="AK37" s="704">
        <f t="shared" si="1"/>
        <v>0</v>
      </c>
    </row>
    <row r="38" spans="1:37" x14ac:dyDescent="0.3">
      <c r="B38" s="154" t="s">
        <v>714</v>
      </c>
      <c r="C38" s="160" t="s">
        <v>902</v>
      </c>
      <c r="D38" s="160" t="s">
        <v>681</v>
      </c>
      <c r="E38" s="160" t="s">
        <v>279</v>
      </c>
      <c r="F38" s="451">
        <v>47</v>
      </c>
      <c r="G38" s="166">
        <v>-1</v>
      </c>
      <c r="H38" s="676">
        <f>G38*IF(E38="P",SUMIF(PASIVA!$L:$L,'CF calc'!$F38,PASIVA!M:M)-SUMIF(PASIVA!$L:$L,'CF calc'!$F38,PASIVA!N:N),IF(E38="A",SUMIF(AKTIVA!$M:$M,'CF calc'!$F38,AKTIVA!P:P)-SUMIF(AKTIVA!$M:$M,'CF calc'!$F38,AKTIVA!Q:Q),IF(E38="V",SUMIF(VYSLEDOVKA!L:L,F38,VYSLEDOVKA!M:M),"-")))</f>
        <v>0</v>
      </c>
      <c r="I38" s="639"/>
      <c r="J38" s="639"/>
      <c r="K38" s="639"/>
      <c r="L38" s="639"/>
      <c r="M38" s="639"/>
      <c r="N38" s="639"/>
      <c r="O38" s="639"/>
      <c r="P38" s="689">
        <f t="shared" si="27"/>
        <v>0</v>
      </c>
      <c r="Q38" s="673"/>
      <c r="R38" s="639"/>
      <c r="S38" s="639"/>
      <c r="T38" s="637"/>
      <c r="U38" s="639"/>
      <c r="V38" s="639"/>
      <c r="W38" s="637"/>
      <c r="X38" s="639"/>
      <c r="Y38" s="643"/>
      <c r="Z38" s="644"/>
      <c r="AA38" s="644"/>
      <c r="AB38" s="644"/>
      <c r="AC38" s="644"/>
      <c r="AD38" s="644"/>
      <c r="AE38" s="644"/>
      <c r="AF38" s="644"/>
      <c r="AG38" s="644"/>
      <c r="AH38" s="644"/>
      <c r="AI38" s="644"/>
      <c r="AJ38" s="701"/>
      <c r="AK38" s="704">
        <f t="shared" si="1"/>
        <v>0</v>
      </c>
    </row>
    <row r="39" spans="1:37" x14ac:dyDescent="0.3">
      <c r="B39" s="154" t="s">
        <v>714</v>
      </c>
      <c r="C39" s="160" t="s">
        <v>904</v>
      </c>
      <c r="D39" s="160" t="s">
        <v>681</v>
      </c>
      <c r="E39" s="160" t="s">
        <v>279</v>
      </c>
      <c r="F39" s="451">
        <v>74</v>
      </c>
      <c r="G39" s="166">
        <v>-1</v>
      </c>
      <c r="H39" s="676">
        <f>G39*IF(E39="P",SUMIF(PASIVA!$L:$L,'CF calc'!$F39,PASIVA!M:M)-SUMIF(PASIVA!$L:$L,'CF calc'!$F39,PASIVA!N:N),IF(E39="A",SUMIF(AKTIVA!$M:$M,'CF calc'!$F39,AKTIVA!P:P)-SUMIF(AKTIVA!$M:$M,'CF calc'!$F39,AKTIVA!Q:Q),IF(E39="V",SUMIF(VYSLEDOVKA!L:L,F39,VYSLEDOVKA!M:M),"-")))</f>
        <v>0</v>
      </c>
      <c r="I39" s="639"/>
      <c r="J39" s="639"/>
      <c r="K39" s="639"/>
      <c r="L39" s="639"/>
      <c r="M39" s="639"/>
      <c r="N39" s="639"/>
      <c r="O39" s="639"/>
      <c r="P39" s="689">
        <f t="shared" si="27"/>
        <v>0</v>
      </c>
      <c r="Q39" s="639"/>
      <c r="R39" s="639"/>
      <c r="S39" s="639"/>
      <c r="T39" s="639"/>
      <c r="U39" s="639"/>
      <c r="V39" s="639"/>
      <c r="W39" s="639"/>
      <c r="X39" s="639"/>
      <c r="Y39" s="641"/>
      <c r="Z39" s="642"/>
      <c r="AA39" s="642"/>
      <c r="AB39" s="642"/>
      <c r="AC39" s="642"/>
      <c r="AD39" s="642"/>
      <c r="AE39" s="642"/>
      <c r="AF39" s="642"/>
      <c r="AG39" s="642"/>
      <c r="AH39" s="642"/>
      <c r="AI39" s="642"/>
      <c r="AJ39" s="700"/>
      <c r="AK39" s="704">
        <f t="shared" si="1"/>
        <v>0</v>
      </c>
    </row>
    <row r="40" spans="1:37" s="173" customFormat="1" x14ac:dyDescent="0.3">
      <c r="A40" s="205">
        <v>14</v>
      </c>
      <c r="B40" s="173" t="s">
        <v>684</v>
      </c>
      <c r="C40" s="174" t="s">
        <v>639</v>
      </c>
      <c r="D40" s="174" t="s">
        <v>677</v>
      </c>
      <c r="E40" s="174" t="s">
        <v>715</v>
      </c>
      <c r="F40" s="453"/>
      <c r="G40" s="175"/>
      <c r="H40" s="678">
        <f t="shared" ref="H40:O40" si="30">SUMIF($B:$B,$E40,H:H)</f>
        <v>0</v>
      </c>
      <c r="I40" s="197">
        <f t="shared" si="30"/>
        <v>0</v>
      </c>
      <c r="J40" s="197">
        <f t="shared" si="30"/>
        <v>0</v>
      </c>
      <c r="K40" s="197">
        <f t="shared" si="30"/>
        <v>0</v>
      </c>
      <c r="L40" s="197">
        <f t="shared" si="30"/>
        <v>0</v>
      </c>
      <c r="M40" s="197">
        <f t="shared" si="30"/>
        <v>0</v>
      </c>
      <c r="N40" s="197">
        <f t="shared" si="30"/>
        <v>0</v>
      </c>
      <c r="O40" s="197">
        <f t="shared" si="30"/>
        <v>0</v>
      </c>
      <c r="P40" s="691">
        <f t="shared" si="27"/>
        <v>0</v>
      </c>
      <c r="Q40" s="197">
        <f t="shared" ref="Q40:AJ40" si="31">SUMIF($B:$B,$E40,Q:Q)</f>
        <v>0</v>
      </c>
      <c r="R40" s="197">
        <f t="shared" si="31"/>
        <v>0</v>
      </c>
      <c r="S40" s="197">
        <f t="shared" si="31"/>
        <v>0</v>
      </c>
      <c r="T40" s="197">
        <f t="shared" si="31"/>
        <v>0</v>
      </c>
      <c r="U40" s="197">
        <f t="shared" si="31"/>
        <v>0</v>
      </c>
      <c r="V40" s="197">
        <f t="shared" si="31"/>
        <v>0</v>
      </c>
      <c r="W40" s="197">
        <f t="shared" si="31"/>
        <v>0</v>
      </c>
      <c r="X40" s="197">
        <f t="shared" si="31"/>
        <v>0</v>
      </c>
      <c r="Y40" s="197">
        <f t="shared" si="31"/>
        <v>0</v>
      </c>
      <c r="Z40" s="197">
        <f t="shared" si="31"/>
        <v>0</v>
      </c>
      <c r="AA40" s="197">
        <f t="shared" si="31"/>
        <v>0</v>
      </c>
      <c r="AB40" s="197">
        <f t="shared" si="31"/>
        <v>0</v>
      </c>
      <c r="AC40" s="197">
        <f t="shared" si="31"/>
        <v>0</v>
      </c>
      <c r="AD40" s="197">
        <f t="shared" si="31"/>
        <v>0</v>
      </c>
      <c r="AE40" s="197">
        <f t="shared" si="31"/>
        <v>0</v>
      </c>
      <c r="AF40" s="197">
        <f t="shared" si="31"/>
        <v>0</v>
      </c>
      <c r="AG40" s="197">
        <f t="shared" si="31"/>
        <v>0</v>
      </c>
      <c r="AH40" s="197">
        <f t="shared" si="31"/>
        <v>0</v>
      </c>
      <c r="AI40" s="197">
        <f t="shared" si="31"/>
        <v>0</v>
      </c>
      <c r="AJ40" s="197">
        <f t="shared" si="31"/>
        <v>0</v>
      </c>
      <c r="AK40" s="704">
        <f t="shared" si="1"/>
        <v>0</v>
      </c>
    </row>
    <row r="41" spans="1:37" x14ac:dyDescent="0.3">
      <c r="B41" s="154" t="s">
        <v>715</v>
      </c>
      <c r="C41" s="160" t="s">
        <v>903</v>
      </c>
      <c r="D41" s="160" t="s">
        <v>681</v>
      </c>
      <c r="E41" s="160" t="s">
        <v>291</v>
      </c>
      <c r="F41" s="451">
        <v>122</v>
      </c>
      <c r="G41" s="166">
        <v>1</v>
      </c>
      <c r="H41" s="676">
        <f>G41*IF(E41="P",SUMIF(PASIVA!$L:$L,'CF calc'!$F41,PASIVA!M:M)-SUMIF(PASIVA!$L:$L,'CF calc'!$F41,PASIVA!N:N),IF(E41="A",SUMIF(AKTIVA!$M:$M,'CF calc'!$F41,AKTIVA!P:P)-SUMIF(AKTIVA!$M:$M,'CF calc'!$F41,AKTIVA!Q:Q),IF(E41="V",SUMIF(VYSLEDOVKA!L:L,F41,VYSLEDOVKA!M:M),"-")))</f>
        <v>0</v>
      </c>
      <c r="I41" s="639"/>
      <c r="J41" s="639"/>
      <c r="K41" s="639"/>
      <c r="L41" s="639"/>
      <c r="M41" s="639"/>
      <c r="N41" s="639"/>
      <c r="O41" s="639"/>
      <c r="P41" s="689">
        <f t="shared" si="27"/>
        <v>0</v>
      </c>
      <c r="Q41" s="639"/>
      <c r="R41" s="639"/>
      <c r="S41" s="639"/>
      <c r="T41" s="639"/>
      <c r="U41" s="639"/>
      <c r="V41" s="639"/>
      <c r="W41" s="639"/>
      <c r="X41" s="637"/>
      <c r="Y41" s="639"/>
      <c r="Z41" s="640"/>
      <c r="AA41" s="637"/>
      <c r="AB41" s="637"/>
      <c r="AC41" s="640"/>
      <c r="AD41" s="640"/>
      <c r="AE41" s="637"/>
      <c r="AF41" s="640"/>
      <c r="AG41" s="640"/>
      <c r="AH41" s="640"/>
      <c r="AI41" s="640"/>
      <c r="AJ41" s="699"/>
      <c r="AK41" s="704">
        <f t="shared" si="1"/>
        <v>0</v>
      </c>
    </row>
    <row r="42" spans="1:37" x14ac:dyDescent="0.3">
      <c r="B42" s="154" t="s">
        <v>715</v>
      </c>
      <c r="C42" s="160" t="s">
        <v>905</v>
      </c>
      <c r="D42" s="160" t="s">
        <v>681</v>
      </c>
      <c r="E42" s="160" t="s">
        <v>291</v>
      </c>
      <c r="F42" s="451">
        <v>140</v>
      </c>
      <c r="G42" s="166">
        <v>1</v>
      </c>
      <c r="H42" s="676">
        <f>G42*IF(E42="P",SUMIF(PASIVA!$L:$L,'CF calc'!$F42,PASIVA!M:M)-SUMIF(PASIVA!$L:$L,'CF calc'!$F42,PASIVA!N:N),IF(E42="A",SUMIF(AKTIVA!$M:$M,'CF calc'!$F42,AKTIVA!P:P)-SUMIF(AKTIVA!$M:$M,'CF calc'!$F42,AKTIVA!Q:Q),IF(E42="V",SUMIF(VYSLEDOVKA!L:L,F42,VYSLEDOVKA!M:M),"-")))</f>
        <v>0</v>
      </c>
      <c r="I42" s="639"/>
      <c r="J42" s="639"/>
      <c r="K42" s="639"/>
      <c r="L42" s="639"/>
      <c r="M42" s="639"/>
      <c r="N42" s="639"/>
      <c r="O42" s="639"/>
      <c r="P42" s="689">
        <f t="shared" si="27"/>
        <v>0</v>
      </c>
      <c r="Q42" s="639"/>
      <c r="R42" s="639"/>
      <c r="S42" s="639"/>
      <c r="T42" s="639"/>
      <c r="U42" s="639"/>
      <c r="V42" s="639"/>
      <c r="W42" s="639"/>
      <c r="X42" s="639"/>
      <c r="Y42" s="641"/>
      <c r="Z42" s="642"/>
      <c r="AA42" s="642"/>
      <c r="AB42" s="642"/>
      <c r="AC42" s="642"/>
      <c r="AD42" s="642"/>
      <c r="AE42" s="642"/>
      <c r="AF42" s="642"/>
      <c r="AG42" s="642"/>
      <c r="AH42" s="642"/>
      <c r="AI42" s="642"/>
      <c r="AJ42" s="700"/>
      <c r="AK42" s="704">
        <f t="shared" si="1"/>
        <v>0</v>
      </c>
    </row>
    <row r="43" spans="1:37" s="173" customFormat="1" x14ac:dyDescent="0.3">
      <c r="A43" s="205">
        <v>15</v>
      </c>
      <c r="B43" s="173" t="s">
        <v>684</v>
      </c>
      <c r="C43" s="174" t="s">
        <v>640</v>
      </c>
      <c r="D43" s="174" t="s">
        <v>677</v>
      </c>
      <c r="E43" s="174" t="s">
        <v>716</v>
      </c>
      <c r="F43" s="453"/>
      <c r="G43" s="175"/>
      <c r="H43" s="678">
        <f t="shared" ref="H43:O43" si="32">SUMIF($B:$B,$E43,H:H)</f>
        <v>0</v>
      </c>
      <c r="I43" s="197">
        <f t="shared" si="32"/>
        <v>0</v>
      </c>
      <c r="J43" s="197">
        <f t="shared" si="32"/>
        <v>0</v>
      </c>
      <c r="K43" s="197">
        <f t="shared" si="32"/>
        <v>0</v>
      </c>
      <c r="L43" s="197">
        <f t="shared" si="32"/>
        <v>0</v>
      </c>
      <c r="M43" s="197">
        <f t="shared" si="32"/>
        <v>0</v>
      </c>
      <c r="N43" s="197">
        <f t="shared" si="32"/>
        <v>0</v>
      </c>
      <c r="O43" s="197">
        <f t="shared" si="32"/>
        <v>0</v>
      </c>
      <c r="P43" s="691">
        <f t="shared" si="27"/>
        <v>0</v>
      </c>
      <c r="Q43" s="197">
        <f t="shared" ref="Q43:AJ43" si="33">SUMIF($B:$B,$E43,Q:Q)</f>
        <v>0</v>
      </c>
      <c r="R43" s="197">
        <f t="shared" si="33"/>
        <v>0</v>
      </c>
      <c r="S43" s="197">
        <f t="shared" si="33"/>
        <v>0</v>
      </c>
      <c r="T43" s="197">
        <f t="shared" si="33"/>
        <v>0</v>
      </c>
      <c r="U43" s="197">
        <f t="shared" si="33"/>
        <v>0</v>
      </c>
      <c r="V43" s="197">
        <f t="shared" si="33"/>
        <v>0</v>
      </c>
      <c r="W43" s="197">
        <f t="shared" si="33"/>
        <v>0</v>
      </c>
      <c r="X43" s="197">
        <f t="shared" si="33"/>
        <v>0</v>
      </c>
      <c r="Y43" s="197">
        <f t="shared" si="33"/>
        <v>0</v>
      </c>
      <c r="Z43" s="197">
        <f t="shared" si="33"/>
        <v>0</v>
      </c>
      <c r="AA43" s="197">
        <f t="shared" si="33"/>
        <v>0</v>
      </c>
      <c r="AB43" s="197">
        <f t="shared" si="33"/>
        <v>0</v>
      </c>
      <c r="AC43" s="197">
        <f t="shared" si="33"/>
        <v>0</v>
      </c>
      <c r="AD43" s="197">
        <f t="shared" si="33"/>
        <v>0</v>
      </c>
      <c r="AE43" s="197">
        <f t="shared" si="33"/>
        <v>0</v>
      </c>
      <c r="AF43" s="197">
        <f t="shared" si="33"/>
        <v>0</v>
      </c>
      <c r="AG43" s="197">
        <f t="shared" si="33"/>
        <v>0</v>
      </c>
      <c r="AH43" s="197">
        <f t="shared" si="33"/>
        <v>0</v>
      </c>
      <c r="AI43" s="197">
        <f t="shared" si="33"/>
        <v>0</v>
      </c>
      <c r="AJ43" s="197">
        <f t="shared" si="33"/>
        <v>0</v>
      </c>
      <c r="AK43" s="704">
        <f t="shared" si="1"/>
        <v>0</v>
      </c>
    </row>
    <row r="44" spans="1:37" x14ac:dyDescent="0.3">
      <c r="B44" s="154" t="s">
        <v>716</v>
      </c>
      <c r="C44" s="160" t="s">
        <v>906</v>
      </c>
      <c r="D44" s="160" t="s">
        <v>681</v>
      </c>
      <c r="E44" s="160" t="s">
        <v>279</v>
      </c>
      <c r="F44" s="451">
        <v>39</v>
      </c>
      <c r="G44" s="166">
        <v>-1</v>
      </c>
      <c r="H44" s="676">
        <f>G44*IF(E44="P",SUMIF(PASIVA!$L:$L,'CF calc'!$F44,PASIVA!M:M)-SUMIF(PASIVA!$L:$L,'CF calc'!$F44,PASIVA!N:N),IF(E44="A",SUMIF(AKTIVA!$M:$M,'CF calc'!$F44,AKTIVA!P:P)-SUMIF(AKTIVA!$M:$M,'CF calc'!$F44,AKTIVA!Q:Q),IF(E44="V",SUMIF(VYSLEDOVKA!L:L,F44,VYSLEDOVKA!M:M),"-")))</f>
        <v>0</v>
      </c>
      <c r="I44" s="639"/>
      <c r="J44" s="639"/>
      <c r="K44" s="639"/>
      <c r="L44" s="639"/>
      <c r="M44" s="639"/>
      <c r="N44" s="639"/>
      <c r="O44" s="639"/>
      <c r="P44" s="689">
        <f t="shared" si="27"/>
        <v>0</v>
      </c>
      <c r="Q44" s="639"/>
      <c r="R44" s="637"/>
      <c r="S44" s="639"/>
      <c r="T44" s="639"/>
      <c r="U44" s="639"/>
      <c r="V44" s="639"/>
      <c r="W44" s="639"/>
      <c r="X44" s="639"/>
      <c r="Y44" s="639"/>
      <c r="Z44" s="640"/>
      <c r="AA44" s="640"/>
      <c r="AB44" s="640"/>
      <c r="AC44" s="640"/>
      <c r="AD44" s="637"/>
      <c r="AE44" s="640"/>
      <c r="AF44" s="640"/>
      <c r="AG44" s="640"/>
      <c r="AH44" s="640"/>
      <c r="AI44" s="640"/>
      <c r="AJ44" s="699"/>
      <c r="AK44" s="704">
        <f t="shared" si="1"/>
        <v>0</v>
      </c>
    </row>
    <row r="45" spans="1:37" x14ac:dyDescent="0.3">
      <c r="B45" s="154" t="s">
        <v>716</v>
      </c>
      <c r="C45" s="160" t="s">
        <v>907</v>
      </c>
      <c r="D45" s="160" t="s">
        <v>681</v>
      </c>
      <c r="E45" s="160" t="s">
        <v>279</v>
      </c>
      <c r="F45" s="451">
        <v>40</v>
      </c>
      <c r="G45" s="166">
        <v>-1</v>
      </c>
      <c r="H45" s="676">
        <f>G45*IF(E45="P",SUMIF(PASIVA!$L:$L,'CF calc'!$F45,PASIVA!M:M)-SUMIF(PASIVA!$L:$L,'CF calc'!$F45,PASIVA!N:N),IF(E45="A",SUMIF(AKTIVA!$M:$M,'CF calc'!$F45,AKTIVA!P:P)-SUMIF(AKTIVA!$M:$M,'CF calc'!$F45,AKTIVA!Q:Q),IF(E45="V",SUMIF(VYSLEDOVKA!L:L,F45,VYSLEDOVKA!M:M),"-")))</f>
        <v>0</v>
      </c>
      <c r="I45" s="639"/>
      <c r="J45" s="639"/>
      <c r="K45" s="639"/>
      <c r="L45" s="639"/>
      <c r="M45" s="639"/>
      <c r="N45" s="639"/>
      <c r="O45" s="639"/>
      <c r="P45" s="689">
        <f t="shared" si="27"/>
        <v>0</v>
      </c>
      <c r="Q45" s="639"/>
      <c r="R45" s="637"/>
      <c r="S45" s="639"/>
      <c r="T45" s="639"/>
      <c r="U45" s="639"/>
      <c r="V45" s="639"/>
      <c r="W45" s="639"/>
      <c r="X45" s="639"/>
      <c r="Y45" s="643"/>
      <c r="Z45" s="644"/>
      <c r="AA45" s="644"/>
      <c r="AB45" s="644"/>
      <c r="AC45" s="644"/>
      <c r="AD45" s="648"/>
      <c r="AE45" s="644"/>
      <c r="AF45" s="644"/>
      <c r="AG45" s="644"/>
      <c r="AH45" s="644"/>
      <c r="AI45" s="644"/>
      <c r="AJ45" s="701"/>
      <c r="AK45" s="704">
        <f t="shared" si="1"/>
        <v>0</v>
      </c>
    </row>
    <row r="46" spans="1:37" x14ac:dyDescent="0.3">
      <c r="B46" s="154" t="s">
        <v>716</v>
      </c>
      <c r="C46" s="160" t="s">
        <v>908</v>
      </c>
      <c r="D46" s="160" t="s">
        <v>681</v>
      </c>
      <c r="E46" s="160" t="s">
        <v>279</v>
      </c>
      <c r="F46" s="451">
        <v>42</v>
      </c>
      <c r="G46" s="166">
        <v>-1</v>
      </c>
      <c r="H46" s="676">
        <f>G46*IF(E46="P",SUMIF(PASIVA!$L:$L,'CF calc'!$F46,PASIVA!M:M)-SUMIF(PASIVA!$L:$L,'CF calc'!$F46,PASIVA!N:N),IF(E46="A",SUMIF(AKTIVA!$M:$M,'CF calc'!$F46,AKTIVA!P:P)-SUMIF(AKTIVA!$M:$M,'CF calc'!$F46,AKTIVA!Q:Q),IF(E46="V",SUMIF(VYSLEDOVKA!L:L,F46,VYSLEDOVKA!M:M),"-")))</f>
        <v>0</v>
      </c>
      <c r="I46" s="639"/>
      <c r="J46" s="639"/>
      <c r="K46" s="639"/>
      <c r="L46" s="639"/>
      <c r="M46" s="639"/>
      <c r="N46" s="639"/>
      <c r="O46" s="639"/>
      <c r="P46" s="689">
        <f t="shared" si="27"/>
        <v>0</v>
      </c>
      <c r="Q46" s="639"/>
      <c r="R46" s="637"/>
      <c r="S46" s="639"/>
      <c r="T46" s="639"/>
      <c r="U46" s="639"/>
      <c r="V46" s="639"/>
      <c r="W46" s="639"/>
      <c r="X46" s="639"/>
      <c r="Y46" s="643"/>
      <c r="Z46" s="644"/>
      <c r="AA46" s="644"/>
      <c r="AB46" s="644"/>
      <c r="AC46" s="644"/>
      <c r="AD46" s="648"/>
      <c r="AE46" s="644"/>
      <c r="AF46" s="644"/>
      <c r="AG46" s="644"/>
      <c r="AH46" s="644"/>
      <c r="AI46" s="644"/>
      <c r="AJ46" s="701"/>
      <c r="AK46" s="704">
        <f t="shared" si="1"/>
        <v>0</v>
      </c>
    </row>
    <row r="47" spans="1:37" x14ac:dyDescent="0.3">
      <c r="B47" s="154" t="s">
        <v>716</v>
      </c>
      <c r="C47" s="160" t="s">
        <v>910</v>
      </c>
      <c r="D47" s="160" t="s">
        <v>681</v>
      </c>
      <c r="E47" s="160" t="s">
        <v>279</v>
      </c>
      <c r="F47" s="451">
        <v>44</v>
      </c>
      <c r="G47" s="166">
        <v>-1</v>
      </c>
      <c r="H47" s="676">
        <f>G47*IF(E47="P",SUMIF(PASIVA!$L:$L,'CF calc'!$F47,PASIVA!M:M)-SUMIF(PASIVA!$L:$L,'CF calc'!$F47,PASIVA!N:N),IF(E47="A",SUMIF(AKTIVA!$M:$M,'CF calc'!$F47,AKTIVA!P:P)-SUMIF(AKTIVA!$M:$M,'CF calc'!$F47,AKTIVA!Q:Q),IF(E47="V",SUMIF(VYSLEDOVKA!L:L,F47,VYSLEDOVKA!M:M),"-")))</f>
        <v>0</v>
      </c>
      <c r="I47" s="639"/>
      <c r="J47" s="639"/>
      <c r="K47" s="639"/>
      <c r="L47" s="639"/>
      <c r="M47" s="639"/>
      <c r="N47" s="639"/>
      <c r="O47" s="639"/>
      <c r="P47" s="689">
        <f t="shared" si="27"/>
        <v>0</v>
      </c>
      <c r="Q47" s="639"/>
      <c r="R47" s="637"/>
      <c r="S47" s="639"/>
      <c r="T47" s="639"/>
      <c r="U47" s="639"/>
      <c r="V47" s="639"/>
      <c r="W47" s="639"/>
      <c r="X47" s="639"/>
      <c r="Y47" s="643"/>
      <c r="Z47" s="644"/>
      <c r="AA47" s="644"/>
      <c r="AB47" s="644"/>
      <c r="AC47" s="644"/>
      <c r="AD47" s="648"/>
      <c r="AE47" s="644"/>
      <c r="AF47" s="644"/>
      <c r="AG47" s="644"/>
      <c r="AH47" s="644"/>
      <c r="AI47" s="644"/>
      <c r="AJ47" s="701"/>
      <c r="AK47" s="704">
        <f t="shared" si="1"/>
        <v>0</v>
      </c>
    </row>
    <row r="48" spans="1:37" x14ac:dyDescent="0.3">
      <c r="B48" s="154" t="s">
        <v>716</v>
      </c>
      <c r="C48" s="160" t="s">
        <v>909</v>
      </c>
      <c r="D48" s="160" t="s">
        <v>681</v>
      </c>
      <c r="E48" s="160" t="s">
        <v>279</v>
      </c>
      <c r="F48" s="451">
        <v>43</v>
      </c>
      <c r="G48" s="166">
        <v>-1</v>
      </c>
      <c r="H48" s="676">
        <f>G48*IF(E48="P",SUMIF(PASIVA!$L:$L,'CF calc'!$F48,PASIVA!M:M)-SUMIF(PASIVA!$L:$L,'CF calc'!$F48,PASIVA!N:N),IF(E48="A",SUMIF(AKTIVA!$M:$M,'CF calc'!$F48,AKTIVA!P:P)-SUMIF(AKTIVA!$M:$M,'CF calc'!$F48,AKTIVA!Q:Q),IF(E48="V",SUMIF(VYSLEDOVKA!L:L,F48,VYSLEDOVKA!M:M),"-")))</f>
        <v>0</v>
      </c>
      <c r="I48" s="639"/>
      <c r="J48" s="639"/>
      <c r="K48" s="639"/>
      <c r="L48" s="639"/>
      <c r="M48" s="639"/>
      <c r="N48" s="639"/>
      <c r="O48" s="639"/>
      <c r="P48" s="689">
        <f t="shared" si="27"/>
        <v>0</v>
      </c>
      <c r="Q48" s="639"/>
      <c r="R48" s="637"/>
      <c r="S48" s="639"/>
      <c r="T48" s="639"/>
      <c r="U48" s="639"/>
      <c r="V48" s="639"/>
      <c r="W48" s="639"/>
      <c r="X48" s="639"/>
      <c r="Y48" s="643"/>
      <c r="Z48" s="644"/>
      <c r="AA48" s="644"/>
      <c r="AB48" s="644"/>
      <c r="AC48" s="644"/>
      <c r="AD48" s="648"/>
      <c r="AE48" s="644"/>
      <c r="AF48" s="644"/>
      <c r="AG48" s="644"/>
      <c r="AH48" s="644"/>
      <c r="AI48" s="644"/>
      <c r="AJ48" s="701"/>
      <c r="AK48" s="704">
        <f t="shared" si="1"/>
        <v>0</v>
      </c>
    </row>
    <row r="49" spans="1:37" x14ac:dyDescent="0.3">
      <c r="B49" s="154" t="s">
        <v>716</v>
      </c>
      <c r="C49" s="160" t="s">
        <v>911</v>
      </c>
      <c r="D49" s="160" t="s">
        <v>681</v>
      </c>
      <c r="E49" s="160" t="s">
        <v>279</v>
      </c>
      <c r="F49" s="451">
        <v>45</v>
      </c>
      <c r="G49" s="166">
        <v>-1</v>
      </c>
      <c r="H49" s="676">
        <f>G49*IF(E49="P",SUMIF(PASIVA!$L:$L,'CF calc'!$F49,PASIVA!M:M)-SUMIF(PASIVA!$L:$L,'CF calc'!$F49,PASIVA!N:N),IF(E49="A",SUMIF(AKTIVA!$M:$M,'CF calc'!$F49,AKTIVA!P:P)-SUMIF(AKTIVA!$M:$M,'CF calc'!$F49,AKTIVA!Q:Q),IF(E49="V",SUMIF(VYSLEDOVKA!L:L,F49,VYSLEDOVKA!M:M),"-")))</f>
        <v>0</v>
      </c>
      <c r="I49" s="639"/>
      <c r="J49" s="639"/>
      <c r="K49" s="639"/>
      <c r="L49" s="639"/>
      <c r="M49" s="639"/>
      <c r="N49" s="639"/>
      <c r="O49" s="639"/>
      <c r="P49" s="689">
        <f t="shared" si="27"/>
        <v>0</v>
      </c>
      <c r="Q49" s="639"/>
      <c r="R49" s="639"/>
      <c r="S49" s="639"/>
      <c r="T49" s="639"/>
      <c r="U49" s="639"/>
      <c r="V49" s="639"/>
      <c r="W49" s="639"/>
      <c r="X49" s="639"/>
      <c r="Y49" s="641"/>
      <c r="Z49" s="642"/>
      <c r="AA49" s="642"/>
      <c r="AB49" s="642"/>
      <c r="AC49" s="642"/>
      <c r="AD49" s="642"/>
      <c r="AE49" s="642"/>
      <c r="AF49" s="642"/>
      <c r="AG49" s="642"/>
      <c r="AH49" s="642"/>
      <c r="AI49" s="642"/>
      <c r="AJ49" s="700"/>
      <c r="AK49" s="704">
        <f t="shared" si="1"/>
        <v>0</v>
      </c>
    </row>
    <row r="50" spans="1:37" s="173" customFormat="1" x14ac:dyDescent="0.3">
      <c r="A50" s="205">
        <v>16</v>
      </c>
      <c r="B50" s="173" t="s">
        <v>684</v>
      </c>
      <c r="C50" s="174" t="s">
        <v>641</v>
      </c>
      <c r="D50" s="174" t="s">
        <v>677</v>
      </c>
      <c r="E50" s="174" t="s">
        <v>717</v>
      </c>
      <c r="F50" s="453"/>
      <c r="G50" s="175"/>
      <c r="H50" s="678">
        <f t="shared" ref="H50:O50" si="34">SUMIF($B:$B,$E50,H:H)</f>
        <v>0</v>
      </c>
      <c r="I50" s="197">
        <f t="shared" si="34"/>
        <v>0</v>
      </c>
      <c r="J50" s="197">
        <f t="shared" si="34"/>
        <v>0</v>
      </c>
      <c r="K50" s="197">
        <f t="shared" si="34"/>
        <v>0</v>
      </c>
      <c r="L50" s="197">
        <f t="shared" si="34"/>
        <v>0</v>
      </c>
      <c r="M50" s="197">
        <f t="shared" si="34"/>
        <v>0</v>
      </c>
      <c r="N50" s="197">
        <f t="shared" si="34"/>
        <v>0</v>
      </c>
      <c r="O50" s="197">
        <f t="shared" si="34"/>
        <v>0</v>
      </c>
      <c r="P50" s="691">
        <f t="shared" si="27"/>
        <v>0</v>
      </c>
      <c r="Q50" s="197">
        <f t="shared" ref="Q50:AJ50" si="35">SUMIF($B:$B,$E50,Q:Q)</f>
        <v>0</v>
      </c>
      <c r="R50" s="197">
        <f t="shared" si="35"/>
        <v>0</v>
      </c>
      <c r="S50" s="197">
        <f t="shared" si="35"/>
        <v>0</v>
      </c>
      <c r="T50" s="197">
        <f t="shared" si="35"/>
        <v>0</v>
      </c>
      <c r="U50" s="197">
        <f t="shared" si="35"/>
        <v>0</v>
      </c>
      <c r="V50" s="197">
        <f t="shared" si="35"/>
        <v>0</v>
      </c>
      <c r="W50" s="197">
        <f t="shared" si="35"/>
        <v>0</v>
      </c>
      <c r="X50" s="197">
        <f t="shared" si="35"/>
        <v>0</v>
      </c>
      <c r="Y50" s="197">
        <f t="shared" si="35"/>
        <v>0</v>
      </c>
      <c r="Z50" s="197">
        <f t="shared" si="35"/>
        <v>0</v>
      </c>
      <c r="AA50" s="197">
        <f t="shared" si="35"/>
        <v>0</v>
      </c>
      <c r="AB50" s="197">
        <f t="shared" si="35"/>
        <v>0</v>
      </c>
      <c r="AC50" s="197">
        <f t="shared" si="35"/>
        <v>0</v>
      </c>
      <c r="AD50" s="197">
        <f t="shared" si="35"/>
        <v>0</v>
      </c>
      <c r="AE50" s="197">
        <f t="shared" si="35"/>
        <v>0</v>
      </c>
      <c r="AF50" s="197">
        <f t="shared" si="35"/>
        <v>0</v>
      </c>
      <c r="AG50" s="197">
        <f t="shared" si="35"/>
        <v>0</v>
      </c>
      <c r="AH50" s="197">
        <f t="shared" si="35"/>
        <v>0</v>
      </c>
      <c r="AI50" s="197">
        <f t="shared" si="35"/>
        <v>0</v>
      </c>
      <c r="AJ50" s="197">
        <f t="shared" si="35"/>
        <v>0</v>
      </c>
      <c r="AK50" s="704">
        <f t="shared" si="1"/>
        <v>0</v>
      </c>
    </row>
    <row r="51" spans="1:37" x14ac:dyDescent="0.3">
      <c r="B51" s="154" t="s">
        <v>717</v>
      </c>
      <c r="C51" s="160" t="s">
        <v>1223</v>
      </c>
      <c r="D51" s="160" t="s">
        <v>681</v>
      </c>
      <c r="E51" s="160" t="s">
        <v>279</v>
      </c>
      <c r="F51" s="451">
        <v>68</v>
      </c>
      <c r="G51" s="166">
        <v>-1</v>
      </c>
      <c r="H51" s="676">
        <f>G51*IF(E51="P",SUMIF(PASIVA!$L:$L,'CF calc'!$F51,PASIVA!M:M)-SUMIF(PASIVA!$L:$L,'CF calc'!$F51,PASIVA!N:N),IF(E51="A",SUMIF(AKTIVA!$M:$M,'CF calc'!$F51,AKTIVA!P:P)-SUMIF(AKTIVA!$M:$M,'CF calc'!$F51,AKTIVA!Q:Q),IF(E51="V",SUMIF(VYSLEDOVKA!L:L,F51,VYSLEDOVKA!M:M),"-")))</f>
        <v>0</v>
      </c>
      <c r="I51" s="639"/>
      <c r="J51" s="639"/>
      <c r="K51" s="639"/>
      <c r="L51" s="639"/>
      <c r="M51" s="639"/>
      <c r="N51" s="639"/>
      <c r="O51" s="639"/>
      <c r="P51" s="689">
        <f t="shared" si="27"/>
        <v>0</v>
      </c>
      <c r="Q51" s="639"/>
      <c r="R51" s="639"/>
      <c r="S51" s="637"/>
      <c r="T51" s="639"/>
      <c r="U51" s="639"/>
      <c r="V51" s="639"/>
      <c r="W51" s="639"/>
      <c r="X51" s="639"/>
      <c r="Y51" s="639"/>
      <c r="Z51" s="637"/>
      <c r="AA51" s="640"/>
      <c r="AB51" s="640"/>
      <c r="AC51" s="640"/>
      <c r="AD51" s="640"/>
      <c r="AE51" s="640"/>
      <c r="AF51" s="640"/>
      <c r="AG51" s="640"/>
      <c r="AH51" s="640"/>
      <c r="AI51" s="640"/>
      <c r="AJ51" s="699"/>
      <c r="AK51" s="704">
        <f t="shared" si="1"/>
        <v>0</v>
      </c>
    </row>
    <row r="52" spans="1:37" x14ac:dyDescent="0.3">
      <c r="B52" s="154" t="s">
        <v>717</v>
      </c>
      <c r="C52" s="160" t="s">
        <v>912</v>
      </c>
      <c r="D52" s="160" t="s">
        <v>681</v>
      </c>
      <c r="E52" s="160" t="s">
        <v>279</v>
      </c>
      <c r="F52" s="451" t="s">
        <v>262</v>
      </c>
      <c r="G52" s="166">
        <v>-1</v>
      </c>
      <c r="H52" s="676">
        <f>G52*IF(E52="P",SUMIF(PASIVA!$L:$L,'CF calc'!$F52,PASIVA!M:M)-SUMIF(PASIVA!$L:$L,'CF calc'!$F52,PASIVA!N:N),IF(E52="A",SUMIF(AKTIVA!$M:$M,'CF calc'!$F52,AKTIVA!P:P)-SUMIF(AKTIVA!$M:$M,'CF calc'!$F52,AKTIVA!Q:Q),IF(E52="V",SUMIF(VYSLEDOVKA!L:L,F52,VYSLEDOVKA!M:M),"-")))</f>
        <v>0</v>
      </c>
      <c r="I52" s="645"/>
      <c r="J52" s="645"/>
      <c r="K52" s="645"/>
      <c r="L52" s="645"/>
      <c r="M52" s="645"/>
      <c r="N52" s="645"/>
      <c r="O52" s="645"/>
      <c r="P52" s="689">
        <f t="shared" si="27"/>
        <v>0</v>
      </c>
      <c r="Q52" s="645"/>
      <c r="R52" s="645"/>
      <c r="S52" s="645"/>
      <c r="T52" s="645"/>
      <c r="U52" s="645"/>
      <c r="V52" s="645"/>
      <c r="W52" s="645"/>
      <c r="X52" s="645"/>
      <c r="Y52" s="641"/>
      <c r="Z52" s="638"/>
      <c r="AA52" s="642"/>
      <c r="AB52" s="642"/>
      <c r="AC52" s="642"/>
      <c r="AD52" s="642"/>
      <c r="AE52" s="642"/>
      <c r="AF52" s="642"/>
      <c r="AG52" s="642"/>
      <c r="AH52" s="642"/>
      <c r="AI52" s="642"/>
      <c r="AJ52" s="700"/>
      <c r="AK52" s="704">
        <f t="shared" si="1"/>
        <v>0</v>
      </c>
    </row>
    <row r="53" spans="1:37" s="179" customFormat="1" x14ac:dyDescent="0.3">
      <c r="A53" s="208">
        <v>17</v>
      </c>
      <c r="C53" s="180" t="s">
        <v>642</v>
      </c>
      <c r="D53" s="180" t="s">
        <v>683</v>
      </c>
      <c r="E53" s="180" t="s">
        <v>684</v>
      </c>
      <c r="F53" s="457"/>
      <c r="G53" s="181"/>
      <c r="H53" s="682">
        <f t="shared" ref="H53:O53" si="36">H33+SUMIF($B:$B,$E53,H:H)</f>
        <v>0</v>
      </c>
      <c r="I53" s="672">
        <f t="shared" si="36"/>
        <v>0</v>
      </c>
      <c r="J53" s="672">
        <f t="shared" si="36"/>
        <v>0</v>
      </c>
      <c r="K53" s="672">
        <f t="shared" si="36"/>
        <v>0</v>
      </c>
      <c r="L53" s="672">
        <f t="shared" si="36"/>
        <v>0</v>
      </c>
      <c r="M53" s="672">
        <f t="shared" si="36"/>
        <v>0</v>
      </c>
      <c r="N53" s="672">
        <f t="shared" si="36"/>
        <v>0</v>
      </c>
      <c r="O53" s="672">
        <f t="shared" si="36"/>
        <v>0</v>
      </c>
      <c r="P53" s="696">
        <f t="shared" si="27"/>
        <v>0</v>
      </c>
      <c r="Q53" s="672">
        <f t="shared" ref="Q53:AJ53" si="37">Q33+SUMIF($B:$B,$E53,Q:Q)</f>
        <v>0</v>
      </c>
      <c r="R53" s="672">
        <f t="shared" si="37"/>
        <v>0</v>
      </c>
      <c r="S53" s="672">
        <f t="shared" si="37"/>
        <v>0</v>
      </c>
      <c r="T53" s="672">
        <f t="shared" si="37"/>
        <v>0</v>
      </c>
      <c r="U53" s="672">
        <f t="shared" si="37"/>
        <v>0</v>
      </c>
      <c r="V53" s="672">
        <f t="shared" si="37"/>
        <v>0</v>
      </c>
      <c r="W53" s="672">
        <f t="shared" si="37"/>
        <v>0</v>
      </c>
      <c r="X53" s="672">
        <f t="shared" si="37"/>
        <v>0</v>
      </c>
      <c r="Y53" s="672">
        <f t="shared" si="37"/>
        <v>0</v>
      </c>
      <c r="Z53" s="672">
        <f t="shared" si="37"/>
        <v>0</v>
      </c>
      <c r="AA53" s="672">
        <f t="shared" si="37"/>
        <v>0</v>
      </c>
      <c r="AB53" s="672">
        <f t="shared" si="37"/>
        <v>0</v>
      </c>
      <c r="AC53" s="672">
        <f t="shared" si="37"/>
        <v>0</v>
      </c>
      <c r="AD53" s="672">
        <f t="shared" si="37"/>
        <v>0</v>
      </c>
      <c r="AE53" s="672">
        <f t="shared" si="37"/>
        <v>0</v>
      </c>
      <c r="AF53" s="672">
        <f t="shared" si="37"/>
        <v>0</v>
      </c>
      <c r="AG53" s="672">
        <f t="shared" si="37"/>
        <v>0</v>
      </c>
      <c r="AH53" s="672">
        <f t="shared" si="37"/>
        <v>0</v>
      </c>
      <c r="AI53" s="672">
        <f t="shared" si="37"/>
        <v>0</v>
      </c>
      <c r="AJ53" s="672">
        <f t="shared" si="37"/>
        <v>0</v>
      </c>
      <c r="AK53" s="712">
        <f t="shared" si="1"/>
        <v>0</v>
      </c>
    </row>
    <row r="54" spans="1:37" s="153" customFormat="1" x14ac:dyDescent="0.3">
      <c r="A54" s="209"/>
      <c r="C54" s="168"/>
      <c r="D54" s="168"/>
      <c r="E54" s="168"/>
      <c r="F54" s="455"/>
      <c r="G54" s="169"/>
      <c r="H54" s="680"/>
      <c r="I54" s="161"/>
      <c r="J54" s="161"/>
      <c r="K54" s="161"/>
      <c r="L54" s="161"/>
      <c r="M54" s="161"/>
      <c r="N54" s="161"/>
      <c r="O54" s="161"/>
      <c r="P54" s="693"/>
      <c r="Q54" s="161"/>
      <c r="R54" s="161"/>
      <c r="S54" s="161"/>
      <c r="T54" s="161"/>
      <c r="U54" s="161"/>
      <c r="V54" s="161"/>
      <c r="W54" s="161"/>
      <c r="X54" s="161"/>
      <c r="Y54" s="161"/>
      <c r="Z54" s="161"/>
      <c r="AA54" s="161"/>
      <c r="AB54" s="161"/>
      <c r="AC54" s="161"/>
      <c r="AD54" s="161"/>
      <c r="AE54" s="161"/>
      <c r="AF54" s="161"/>
      <c r="AG54" s="161"/>
      <c r="AH54" s="161"/>
      <c r="AI54" s="161"/>
      <c r="AJ54" s="161"/>
      <c r="AK54" s="708">
        <f t="shared" si="1"/>
        <v>0</v>
      </c>
    </row>
    <row r="55" spans="1:37" s="173" customFormat="1" x14ac:dyDescent="0.3">
      <c r="A55" s="205">
        <v>18</v>
      </c>
      <c r="B55" s="173" t="s">
        <v>279</v>
      </c>
      <c r="C55" s="174" t="s">
        <v>643</v>
      </c>
      <c r="D55" s="174" t="s">
        <v>677</v>
      </c>
      <c r="E55" s="174" t="s">
        <v>723</v>
      </c>
      <c r="F55" s="453"/>
      <c r="G55" s="175"/>
      <c r="H55" s="678">
        <f t="shared" ref="H55:O55" si="38">SUMIF($B:$B,$E55,H:H)</f>
        <v>0</v>
      </c>
      <c r="I55" s="197">
        <f t="shared" si="38"/>
        <v>0</v>
      </c>
      <c r="J55" s="197">
        <f t="shared" si="38"/>
        <v>0</v>
      </c>
      <c r="K55" s="197">
        <f t="shared" si="38"/>
        <v>0</v>
      </c>
      <c r="L55" s="197">
        <f t="shared" si="38"/>
        <v>0</v>
      </c>
      <c r="M55" s="197">
        <f t="shared" si="38"/>
        <v>0</v>
      </c>
      <c r="N55" s="197">
        <f t="shared" si="38"/>
        <v>0</v>
      </c>
      <c r="O55" s="197">
        <f t="shared" si="38"/>
        <v>0</v>
      </c>
      <c r="P55" s="691">
        <f t="shared" ref="P55:P67" si="39">SUM(H55:O55)</f>
        <v>0</v>
      </c>
      <c r="Q55" s="197">
        <f t="shared" ref="Q55:AJ55" si="40">SUMIF($B:$B,$E55,Q:Q)</f>
        <v>0</v>
      </c>
      <c r="R55" s="197">
        <f t="shared" si="40"/>
        <v>0</v>
      </c>
      <c r="S55" s="197">
        <f t="shared" si="40"/>
        <v>0</v>
      </c>
      <c r="T55" s="197">
        <f t="shared" si="40"/>
        <v>0</v>
      </c>
      <c r="U55" s="197">
        <f t="shared" si="40"/>
        <v>0</v>
      </c>
      <c r="V55" s="197">
        <f t="shared" si="40"/>
        <v>0</v>
      </c>
      <c r="W55" s="197">
        <f t="shared" si="40"/>
        <v>0</v>
      </c>
      <c r="X55" s="197">
        <f t="shared" si="40"/>
        <v>0</v>
      </c>
      <c r="Y55" s="197">
        <f t="shared" si="40"/>
        <v>0</v>
      </c>
      <c r="Z55" s="197">
        <f t="shared" si="40"/>
        <v>0</v>
      </c>
      <c r="AA55" s="197">
        <f t="shared" si="40"/>
        <v>0</v>
      </c>
      <c r="AB55" s="197">
        <f t="shared" si="40"/>
        <v>0</v>
      </c>
      <c r="AC55" s="197">
        <f t="shared" si="40"/>
        <v>0</v>
      </c>
      <c r="AD55" s="197">
        <f t="shared" si="40"/>
        <v>0</v>
      </c>
      <c r="AE55" s="197">
        <f t="shared" si="40"/>
        <v>0</v>
      </c>
      <c r="AF55" s="197">
        <f t="shared" si="40"/>
        <v>0</v>
      </c>
      <c r="AG55" s="197">
        <f t="shared" si="40"/>
        <v>0</v>
      </c>
      <c r="AH55" s="197">
        <f t="shared" si="40"/>
        <v>0</v>
      </c>
      <c r="AI55" s="197">
        <f t="shared" si="40"/>
        <v>0</v>
      </c>
      <c r="AJ55" s="197">
        <f t="shared" si="40"/>
        <v>0</v>
      </c>
      <c r="AK55" s="704">
        <f t="shared" si="1"/>
        <v>0</v>
      </c>
    </row>
    <row r="56" spans="1:37" x14ac:dyDescent="0.3">
      <c r="B56" s="154" t="s">
        <v>723</v>
      </c>
      <c r="C56" s="160" t="s">
        <v>325</v>
      </c>
      <c r="D56" s="160" t="s">
        <v>349</v>
      </c>
      <c r="E56" s="160" t="s">
        <v>678</v>
      </c>
      <c r="F56" s="451">
        <v>43</v>
      </c>
      <c r="G56" s="166">
        <v>-1</v>
      </c>
      <c r="H56" s="676">
        <f>G56*IF(E56="P",SUMIF(PASIVA!$L:$L,'CF calc'!$F56,PASIVA!M:M)-SUMIF(PASIVA!$L:$L,'CF calc'!$F56,PASIVA!N:N),IF(E56="A",SUMIF(AKTIVA!$M:$M,'CF calc'!$F56,AKTIVA!P:P)-SUMIF(AKTIVA!$M:$M,'CF calc'!$F56,AKTIVA!Q:Q),IF(E56="V",SUMIF(VYSLEDOVKA!L:L,F56,VYSLEDOVKA!M:M),"-")))</f>
        <v>0</v>
      </c>
      <c r="I56" s="639"/>
      <c r="J56" s="639"/>
      <c r="K56" s="639"/>
      <c r="L56" s="639"/>
      <c r="M56" s="639"/>
      <c r="N56" s="639"/>
      <c r="O56" s="639"/>
      <c r="P56" s="689">
        <f t="shared" si="39"/>
        <v>0</v>
      </c>
      <c r="Q56" s="639"/>
      <c r="R56" s="639"/>
      <c r="S56" s="639"/>
      <c r="T56" s="639"/>
      <c r="U56" s="639"/>
      <c r="V56" s="639"/>
      <c r="W56" s="639"/>
      <c r="X56" s="639"/>
      <c r="Y56" s="645"/>
      <c r="Z56" s="646"/>
      <c r="AA56" s="646"/>
      <c r="AB56" s="646"/>
      <c r="AC56" s="646"/>
      <c r="AD56" s="646"/>
      <c r="AE56" s="647"/>
      <c r="AF56" s="646"/>
      <c r="AG56" s="646"/>
      <c r="AH56" s="646"/>
      <c r="AI56" s="646"/>
      <c r="AJ56" s="649"/>
      <c r="AK56" s="704">
        <f t="shared" si="1"/>
        <v>0</v>
      </c>
    </row>
    <row r="57" spans="1:37" s="173" customFormat="1" x14ac:dyDescent="0.3">
      <c r="A57" s="205">
        <v>19</v>
      </c>
      <c r="B57" s="173" t="s">
        <v>279</v>
      </c>
      <c r="C57" s="174" t="s">
        <v>644</v>
      </c>
      <c r="D57" s="174" t="s">
        <v>677</v>
      </c>
      <c r="E57" s="174" t="s">
        <v>724</v>
      </c>
      <c r="F57" s="453"/>
      <c r="G57" s="175"/>
      <c r="H57" s="678">
        <f t="shared" ref="H57:O57" si="41">SUMIF($B:$B,$E57,H:H)</f>
        <v>0</v>
      </c>
      <c r="I57" s="197">
        <f t="shared" si="41"/>
        <v>0</v>
      </c>
      <c r="J57" s="197">
        <f t="shared" si="41"/>
        <v>0</v>
      </c>
      <c r="K57" s="197">
        <f t="shared" si="41"/>
        <v>0</v>
      </c>
      <c r="L57" s="197">
        <f t="shared" si="41"/>
        <v>0</v>
      </c>
      <c r="M57" s="197">
        <f t="shared" si="41"/>
        <v>0</v>
      </c>
      <c r="N57" s="197">
        <f t="shared" si="41"/>
        <v>0</v>
      </c>
      <c r="O57" s="197">
        <f t="shared" si="41"/>
        <v>0</v>
      </c>
      <c r="P57" s="691">
        <f t="shared" si="39"/>
        <v>0</v>
      </c>
      <c r="Q57" s="197">
        <f t="shared" ref="Q57:AJ57" si="42">SUMIF($B:$B,$E57,Q:Q)</f>
        <v>0</v>
      </c>
      <c r="R57" s="197">
        <f t="shared" si="42"/>
        <v>0</v>
      </c>
      <c r="S57" s="197">
        <f t="shared" si="42"/>
        <v>0</v>
      </c>
      <c r="T57" s="197">
        <f t="shared" si="42"/>
        <v>0</v>
      </c>
      <c r="U57" s="197">
        <f t="shared" si="42"/>
        <v>0</v>
      </c>
      <c r="V57" s="197">
        <f t="shared" si="42"/>
        <v>0</v>
      </c>
      <c r="W57" s="197">
        <f t="shared" si="42"/>
        <v>0</v>
      </c>
      <c r="X57" s="197">
        <f t="shared" si="42"/>
        <v>0</v>
      </c>
      <c r="Y57" s="197">
        <f t="shared" si="42"/>
        <v>0</v>
      </c>
      <c r="Z57" s="197">
        <f t="shared" si="42"/>
        <v>0</v>
      </c>
      <c r="AA57" s="197">
        <f t="shared" si="42"/>
        <v>0</v>
      </c>
      <c r="AB57" s="197">
        <f t="shared" si="42"/>
        <v>0</v>
      </c>
      <c r="AC57" s="197">
        <f t="shared" si="42"/>
        <v>0</v>
      </c>
      <c r="AD57" s="197">
        <f t="shared" si="42"/>
        <v>0</v>
      </c>
      <c r="AE57" s="197">
        <f t="shared" si="42"/>
        <v>0</v>
      </c>
      <c r="AF57" s="197">
        <f t="shared" si="42"/>
        <v>0</v>
      </c>
      <c r="AG57" s="197">
        <f t="shared" si="42"/>
        <v>0</v>
      </c>
      <c r="AH57" s="197">
        <f t="shared" si="42"/>
        <v>0</v>
      </c>
      <c r="AI57" s="197">
        <f t="shared" si="42"/>
        <v>0</v>
      </c>
      <c r="AJ57" s="197">
        <f t="shared" si="42"/>
        <v>0</v>
      </c>
      <c r="AK57" s="704">
        <f t="shared" si="1"/>
        <v>0</v>
      </c>
    </row>
    <row r="58" spans="1:37" x14ac:dyDescent="0.3">
      <c r="B58" s="154" t="s">
        <v>724</v>
      </c>
      <c r="C58" s="160" t="s">
        <v>324</v>
      </c>
      <c r="D58" s="160" t="s">
        <v>349</v>
      </c>
      <c r="E58" s="160" t="s">
        <v>678</v>
      </c>
      <c r="F58" s="451">
        <v>39</v>
      </c>
      <c r="G58" s="166">
        <v>1</v>
      </c>
      <c r="H58" s="676">
        <f>G58*IF(E58="P",SUMIF(PASIVA!$L:$L,'CF calc'!$F58,PASIVA!M:M)-SUMIF(PASIVA!$L:$L,'CF calc'!$F58,PASIVA!N:N),IF(E58="A",SUMIF(AKTIVA!$M:$M,'CF calc'!$F58,AKTIVA!P:P)-SUMIF(AKTIVA!$M:$M,'CF calc'!$F58,AKTIVA!Q:Q),IF(E58="V",SUMIF(VYSLEDOVKA!L:L,F58,VYSLEDOVKA!M:M),"-")))</f>
        <v>0</v>
      </c>
      <c r="I58" s="639"/>
      <c r="J58" s="639"/>
      <c r="K58" s="639"/>
      <c r="L58" s="639"/>
      <c r="M58" s="639"/>
      <c r="N58" s="639"/>
      <c r="O58" s="639"/>
      <c r="P58" s="689">
        <f t="shared" si="39"/>
        <v>0</v>
      </c>
      <c r="Q58" s="639"/>
      <c r="R58" s="639"/>
      <c r="S58" s="639"/>
      <c r="T58" s="639"/>
      <c r="U58" s="639"/>
      <c r="V58" s="639"/>
      <c r="W58" s="639"/>
      <c r="X58" s="639"/>
      <c r="Y58" s="645"/>
      <c r="Z58" s="646"/>
      <c r="AA58" s="646"/>
      <c r="AB58" s="646"/>
      <c r="AC58" s="646"/>
      <c r="AD58" s="646"/>
      <c r="AE58" s="647"/>
      <c r="AF58" s="646"/>
      <c r="AG58" s="646"/>
      <c r="AH58" s="646"/>
      <c r="AI58" s="646"/>
      <c r="AJ58" s="649"/>
      <c r="AK58" s="704">
        <f t="shared" si="1"/>
        <v>0</v>
      </c>
    </row>
    <row r="59" spans="1:37" s="173" customFormat="1" x14ac:dyDescent="0.3">
      <c r="A59" s="205">
        <v>20</v>
      </c>
      <c r="B59" s="173" t="s">
        <v>279</v>
      </c>
      <c r="C59" s="174" t="s">
        <v>1224</v>
      </c>
      <c r="D59" s="174" t="s">
        <v>677</v>
      </c>
      <c r="E59" s="174" t="s">
        <v>718</v>
      </c>
      <c r="F59" s="453"/>
      <c r="G59" s="175"/>
      <c r="H59" s="678">
        <f t="shared" ref="H59:O59" si="43">SUMIF($B:$B,$E59,H:H)</f>
        <v>0</v>
      </c>
      <c r="I59" s="197">
        <f t="shared" si="43"/>
        <v>0</v>
      </c>
      <c r="J59" s="197">
        <f t="shared" si="43"/>
        <v>0</v>
      </c>
      <c r="K59" s="197">
        <f t="shared" si="43"/>
        <v>0</v>
      </c>
      <c r="L59" s="197">
        <f t="shared" si="43"/>
        <v>0</v>
      </c>
      <c r="M59" s="197">
        <f t="shared" si="43"/>
        <v>0</v>
      </c>
      <c r="N59" s="197">
        <f t="shared" si="43"/>
        <v>0</v>
      </c>
      <c r="O59" s="197">
        <f t="shared" si="43"/>
        <v>0</v>
      </c>
      <c r="P59" s="691">
        <f t="shared" si="39"/>
        <v>0</v>
      </c>
      <c r="Q59" s="197">
        <f t="shared" ref="Q59:AJ59" si="44">SUMIF($B:$B,$E59,Q:Q)</f>
        <v>0</v>
      </c>
      <c r="R59" s="197">
        <f t="shared" si="44"/>
        <v>0</v>
      </c>
      <c r="S59" s="197">
        <f t="shared" si="44"/>
        <v>0</v>
      </c>
      <c r="T59" s="197">
        <f t="shared" si="44"/>
        <v>0</v>
      </c>
      <c r="U59" s="197">
        <f t="shared" si="44"/>
        <v>0</v>
      </c>
      <c r="V59" s="197">
        <f t="shared" si="44"/>
        <v>0</v>
      </c>
      <c r="W59" s="197">
        <f t="shared" si="44"/>
        <v>0</v>
      </c>
      <c r="X59" s="197">
        <f t="shared" si="44"/>
        <v>0</v>
      </c>
      <c r="Y59" s="197">
        <f t="shared" si="44"/>
        <v>0</v>
      </c>
      <c r="Z59" s="197">
        <f t="shared" si="44"/>
        <v>0</v>
      </c>
      <c r="AA59" s="197">
        <f t="shared" si="44"/>
        <v>0</v>
      </c>
      <c r="AB59" s="197">
        <f t="shared" si="44"/>
        <v>0</v>
      </c>
      <c r="AC59" s="197">
        <f t="shared" si="44"/>
        <v>0</v>
      </c>
      <c r="AD59" s="197">
        <f t="shared" si="44"/>
        <v>0</v>
      </c>
      <c r="AE59" s="197">
        <f t="shared" si="44"/>
        <v>0</v>
      </c>
      <c r="AF59" s="197">
        <f t="shared" si="44"/>
        <v>0</v>
      </c>
      <c r="AG59" s="197">
        <f t="shared" si="44"/>
        <v>0</v>
      </c>
      <c r="AH59" s="197">
        <f t="shared" si="44"/>
        <v>0</v>
      </c>
      <c r="AI59" s="197">
        <f t="shared" si="44"/>
        <v>0</v>
      </c>
      <c r="AJ59" s="197">
        <f t="shared" si="44"/>
        <v>0</v>
      </c>
      <c r="AK59" s="704">
        <f t="shared" si="1"/>
        <v>0</v>
      </c>
    </row>
    <row r="60" spans="1:37" x14ac:dyDescent="0.3">
      <c r="B60" s="154" t="s">
        <v>718</v>
      </c>
      <c r="C60" s="160" t="s">
        <v>326</v>
      </c>
      <c r="D60" s="160" t="s">
        <v>349</v>
      </c>
      <c r="E60" s="160" t="s">
        <v>678</v>
      </c>
      <c r="F60" s="451">
        <v>50</v>
      </c>
      <c r="G60" s="166">
        <v>-1</v>
      </c>
      <c r="H60" s="676">
        <f>G60*IF(E60="P",SUMIF(PASIVA!$L:$L,'CF calc'!$F60,PASIVA!M:M)-SUMIF(PASIVA!$L:$L,'CF calc'!$F60,PASIVA!N:N),IF(E60="A",SUMIF(AKTIVA!$M:$M,'CF calc'!$F60,AKTIVA!P:P)-SUMIF(AKTIVA!$M:$M,'CF calc'!$F60,AKTIVA!Q:Q),IF(E60="V",SUMIF(VYSLEDOVKA!L:L,F60,VYSLEDOVKA!M:M),"-")))</f>
        <v>0</v>
      </c>
      <c r="I60" s="639"/>
      <c r="J60" s="639"/>
      <c r="K60" s="639"/>
      <c r="L60" s="639"/>
      <c r="M60" s="639"/>
      <c r="N60" s="639"/>
      <c r="O60" s="639"/>
      <c r="P60" s="689">
        <f t="shared" si="39"/>
        <v>0</v>
      </c>
      <c r="Q60" s="639"/>
      <c r="R60" s="639"/>
      <c r="S60" s="639"/>
      <c r="T60" s="637"/>
      <c r="U60" s="637"/>
      <c r="V60" s="637"/>
      <c r="W60" s="639"/>
      <c r="X60" s="639"/>
      <c r="Y60" s="639"/>
      <c r="Z60" s="640"/>
      <c r="AA60" s="640"/>
      <c r="AB60" s="640"/>
      <c r="AC60" s="640"/>
      <c r="AD60" s="640"/>
      <c r="AE60" s="640"/>
      <c r="AF60" s="640"/>
      <c r="AG60" s="640"/>
      <c r="AH60" s="640"/>
      <c r="AI60" s="640"/>
      <c r="AJ60" s="699"/>
      <c r="AK60" s="704">
        <f t="shared" si="1"/>
        <v>0</v>
      </c>
    </row>
    <row r="61" spans="1:37" x14ac:dyDescent="0.3">
      <c r="B61" s="154" t="s">
        <v>718</v>
      </c>
      <c r="D61" s="160" t="s">
        <v>349</v>
      </c>
      <c r="E61" s="160" t="s">
        <v>678</v>
      </c>
      <c r="F61" s="451" t="s">
        <v>262</v>
      </c>
      <c r="G61" s="166">
        <v>-1</v>
      </c>
      <c r="H61" s="676">
        <f>G61*IF(E61="P",SUMIF(PASIVA!$L:$L,'CF calc'!$F61,PASIVA!M:M)-SUMIF(PASIVA!$L:$L,'CF calc'!$F61,PASIVA!N:N),IF(E61="A",SUMIF(AKTIVA!$M:$M,'CF calc'!$F61,AKTIVA!P:P)-SUMIF(AKTIVA!$M:$M,'CF calc'!$F61,AKTIVA!Q:Q),IF(E61="V",SUMIF(VYSLEDOVKA!L:L,F61,VYSLEDOVKA!M:M),"-")))</f>
        <v>0</v>
      </c>
      <c r="I61" s="639"/>
      <c r="J61" s="639"/>
      <c r="K61" s="639"/>
      <c r="L61" s="639"/>
      <c r="M61" s="639"/>
      <c r="N61" s="639"/>
      <c r="O61" s="639"/>
      <c r="P61" s="689">
        <f t="shared" si="39"/>
        <v>0</v>
      </c>
      <c r="Q61" s="639"/>
      <c r="R61" s="639"/>
      <c r="S61" s="639"/>
      <c r="T61" s="639"/>
      <c r="U61" s="639"/>
      <c r="V61" s="639"/>
      <c r="W61" s="639"/>
      <c r="X61" s="639"/>
      <c r="Y61" s="641"/>
      <c r="Z61" s="642"/>
      <c r="AA61" s="642"/>
      <c r="AB61" s="642"/>
      <c r="AC61" s="642"/>
      <c r="AD61" s="642"/>
      <c r="AE61" s="642"/>
      <c r="AF61" s="642"/>
      <c r="AG61" s="642"/>
      <c r="AH61" s="642"/>
      <c r="AI61" s="642"/>
      <c r="AJ61" s="700"/>
      <c r="AK61" s="704">
        <f t="shared" si="1"/>
        <v>0</v>
      </c>
    </row>
    <row r="62" spans="1:37" s="173" customFormat="1" x14ac:dyDescent="0.3">
      <c r="A62" s="205">
        <v>21</v>
      </c>
      <c r="B62" s="173" t="s">
        <v>279</v>
      </c>
      <c r="C62" s="174" t="s">
        <v>645</v>
      </c>
      <c r="D62" s="174" t="s">
        <v>677</v>
      </c>
      <c r="E62" s="174" t="s">
        <v>719</v>
      </c>
      <c r="F62" s="453"/>
      <c r="G62" s="175"/>
      <c r="H62" s="678">
        <f t="shared" ref="H62:O62" si="45">SUMIF($B:$B,$E62,H:H)</f>
        <v>0</v>
      </c>
      <c r="I62" s="197">
        <f t="shared" si="45"/>
        <v>0</v>
      </c>
      <c r="J62" s="197">
        <f t="shared" si="45"/>
        <v>0</v>
      </c>
      <c r="K62" s="197">
        <f t="shared" si="45"/>
        <v>0</v>
      </c>
      <c r="L62" s="197">
        <f t="shared" si="45"/>
        <v>0</v>
      </c>
      <c r="M62" s="197">
        <f t="shared" si="45"/>
        <v>0</v>
      </c>
      <c r="N62" s="197">
        <f t="shared" si="45"/>
        <v>0</v>
      </c>
      <c r="O62" s="197">
        <f t="shared" si="45"/>
        <v>0</v>
      </c>
      <c r="P62" s="691">
        <f t="shared" si="39"/>
        <v>0</v>
      </c>
      <c r="Q62" s="197">
        <f t="shared" ref="Q62:AJ62" si="46">SUMIF($B:$B,$E62,Q:Q)</f>
        <v>0</v>
      </c>
      <c r="R62" s="197">
        <f t="shared" si="46"/>
        <v>0</v>
      </c>
      <c r="S62" s="197">
        <f t="shared" si="46"/>
        <v>0</v>
      </c>
      <c r="T62" s="197">
        <f t="shared" si="46"/>
        <v>0</v>
      </c>
      <c r="U62" s="197">
        <f t="shared" si="46"/>
        <v>0</v>
      </c>
      <c r="V62" s="197">
        <f t="shared" si="46"/>
        <v>0</v>
      </c>
      <c r="W62" s="197">
        <f t="shared" si="46"/>
        <v>0</v>
      </c>
      <c r="X62" s="197">
        <f t="shared" si="46"/>
        <v>0</v>
      </c>
      <c r="Y62" s="197">
        <f t="shared" si="46"/>
        <v>0</v>
      </c>
      <c r="Z62" s="197">
        <f t="shared" si="46"/>
        <v>0</v>
      </c>
      <c r="AA62" s="197">
        <f t="shared" si="46"/>
        <v>0</v>
      </c>
      <c r="AB62" s="197">
        <f t="shared" si="46"/>
        <v>0</v>
      </c>
      <c r="AC62" s="197">
        <f t="shared" si="46"/>
        <v>0</v>
      </c>
      <c r="AD62" s="197">
        <f t="shared" si="46"/>
        <v>0</v>
      </c>
      <c r="AE62" s="197">
        <f t="shared" si="46"/>
        <v>0</v>
      </c>
      <c r="AF62" s="197">
        <f t="shared" si="46"/>
        <v>0</v>
      </c>
      <c r="AG62" s="197">
        <f t="shared" si="46"/>
        <v>0</v>
      </c>
      <c r="AH62" s="197">
        <f t="shared" si="46"/>
        <v>0</v>
      </c>
      <c r="AI62" s="197">
        <f t="shared" si="46"/>
        <v>0</v>
      </c>
      <c r="AJ62" s="197">
        <f t="shared" si="46"/>
        <v>0</v>
      </c>
      <c r="AK62" s="704">
        <f t="shared" si="1"/>
        <v>0</v>
      </c>
    </row>
    <row r="63" spans="1:37" x14ac:dyDescent="0.3">
      <c r="B63" s="154" t="s">
        <v>719</v>
      </c>
      <c r="C63" s="160" t="s">
        <v>217</v>
      </c>
      <c r="D63" s="160" t="s">
        <v>349</v>
      </c>
      <c r="E63" s="160" t="s">
        <v>678</v>
      </c>
      <c r="F63" s="451" t="s">
        <v>262</v>
      </c>
      <c r="G63" s="166">
        <v>1</v>
      </c>
      <c r="H63" s="676">
        <f>G63*IF(E63="P",SUMIF(PASIVA!$L:$L,'CF calc'!$F63,PASIVA!M:M)-SUMIF(PASIVA!$L:$L,'CF calc'!$F63,PASIVA!N:N),IF(E63="A",SUMIF(AKTIVA!$M:$M,'CF calc'!$F63,AKTIVA!P:P)-SUMIF(AKTIVA!$M:$M,'CF calc'!$F63,AKTIVA!Q:Q),IF(E63="V",SUMIF(VYSLEDOVKA!L:L,F63,VYSLEDOVKA!M:M),"-")))</f>
        <v>0</v>
      </c>
      <c r="I63" s="639"/>
      <c r="J63" s="639"/>
      <c r="K63" s="639"/>
      <c r="L63" s="639"/>
      <c r="M63" s="639"/>
      <c r="N63" s="639"/>
      <c r="O63" s="639"/>
      <c r="P63" s="689">
        <f t="shared" si="39"/>
        <v>0</v>
      </c>
      <c r="Q63" s="639"/>
      <c r="R63" s="639"/>
      <c r="S63" s="639"/>
      <c r="T63" s="639"/>
      <c r="U63" s="639"/>
      <c r="V63" s="639"/>
      <c r="W63" s="639"/>
      <c r="X63" s="639"/>
      <c r="Y63" s="639"/>
      <c r="Z63" s="640"/>
      <c r="AA63" s="640"/>
      <c r="AB63" s="640"/>
      <c r="AC63" s="640"/>
      <c r="AD63" s="640"/>
      <c r="AE63" s="640"/>
      <c r="AF63" s="640"/>
      <c r="AG63" s="640"/>
      <c r="AH63" s="640"/>
      <c r="AI63" s="640"/>
      <c r="AJ63" s="699"/>
      <c r="AK63" s="704">
        <f t="shared" si="1"/>
        <v>0</v>
      </c>
    </row>
    <row r="64" spans="1:37" x14ac:dyDescent="0.3">
      <c r="B64" s="154" t="s">
        <v>719</v>
      </c>
      <c r="C64" s="160" t="s">
        <v>190</v>
      </c>
      <c r="D64" s="160" t="s">
        <v>349</v>
      </c>
      <c r="E64" s="160" t="s">
        <v>678</v>
      </c>
      <c r="F64" s="451" t="s">
        <v>262</v>
      </c>
      <c r="G64" s="166">
        <v>-1</v>
      </c>
      <c r="H64" s="676">
        <f>G64*IF(E64="P",SUMIF(PASIVA!$L:$L,'CF calc'!$F64,PASIVA!M:M)-SUMIF(PASIVA!$L:$L,'CF calc'!$F64,PASIVA!N:N),IF(E64="A",SUMIF(AKTIVA!$M:$M,'CF calc'!$F64,AKTIVA!P:P)-SUMIF(AKTIVA!$M:$M,'CF calc'!$F64,AKTIVA!Q:Q),IF(E64="V",SUMIF(VYSLEDOVKA!L:L,F64,VYSLEDOVKA!M:M),"-")))</f>
        <v>0</v>
      </c>
      <c r="I64" s="639"/>
      <c r="J64" s="639"/>
      <c r="K64" s="639"/>
      <c r="L64" s="639"/>
      <c r="M64" s="639"/>
      <c r="N64" s="639"/>
      <c r="O64" s="639"/>
      <c r="P64" s="689">
        <f t="shared" si="39"/>
        <v>0</v>
      </c>
      <c r="Q64" s="639"/>
      <c r="R64" s="639"/>
      <c r="S64" s="639"/>
      <c r="T64" s="639"/>
      <c r="U64" s="639"/>
      <c r="V64" s="639"/>
      <c r="W64" s="639"/>
      <c r="X64" s="639"/>
      <c r="Y64" s="641"/>
      <c r="Z64" s="642"/>
      <c r="AA64" s="642"/>
      <c r="AB64" s="642"/>
      <c r="AC64" s="642"/>
      <c r="AD64" s="642"/>
      <c r="AE64" s="642"/>
      <c r="AF64" s="642"/>
      <c r="AG64" s="642"/>
      <c r="AH64" s="642"/>
      <c r="AI64" s="642"/>
      <c r="AJ64" s="700"/>
      <c r="AK64" s="704">
        <f t="shared" si="1"/>
        <v>0</v>
      </c>
    </row>
    <row r="65" spans="1:37" s="173" customFormat="1" x14ac:dyDescent="0.3">
      <c r="A65" s="205">
        <v>22</v>
      </c>
      <c r="B65" s="173" t="s">
        <v>279</v>
      </c>
      <c r="C65" s="174" t="s">
        <v>721</v>
      </c>
      <c r="D65" s="174" t="s">
        <v>677</v>
      </c>
      <c r="E65" s="174" t="s">
        <v>720</v>
      </c>
      <c r="F65" s="453"/>
      <c r="G65" s="175"/>
      <c r="H65" s="678">
        <f t="shared" ref="H65:O65" si="47">SUMIF($B:$B,$E65,H:H)</f>
        <v>0</v>
      </c>
      <c r="I65" s="197">
        <f t="shared" si="47"/>
        <v>0</v>
      </c>
      <c r="J65" s="197">
        <f t="shared" si="47"/>
        <v>0</v>
      </c>
      <c r="K65" s="197">
        <f t="shared" si="47"/>
        <v>0</v>
      </c>
      <c r="L65" s="197">
        <f t="shared" si="47"/>
        <v>0</v>
      </c>
      <c r="M65" s="197">
        <f t="shared" si="47"/>
        <v>0</v>
      </c>
      <c r="N65" s="197">
        <f t="shared" si="47"/>
        <v>0</v>
      </c>
      <c r="O65" s="197">
        <f t="shared" si="47"/>
        <v>0</v>
      </c>
      <c r="P65" s="691">
        <f t="shared" si="39"/>
        <v>0</v>
      </c>
      <c r="Q65" s="197">
        <f t="shared" ref="Q65:AJ65" si="48">SUMIF($B:$B,$E65,Q:Q)</f>
        <v>0</v>
      </c>
      <c r="R65" s="197">
        <f t="shared" si="48"/>
        <v>0</v>
      </c>
      <c r="S65" s="197">
        <f t="shared" si="48"/>
        <v>0</v>
      </c>
      <c r="T65" s="197">
        <f t="shared" si="48"/>
        <v>0</v>
      </c>
      <c r="U65" s="197">
        <f t="shared" si="48"/>
        <v>0</v>
      </c>
      <c r="V65" s="197">
        <f t="shared" si="48"/>
        <v>0</v>
      </c>
      <c r="W65" s="197">
        <f t="shared" si="48"/>
        <v>0</v>
      </c>
      <c r="X65" s="197">
        <f t="shared" si="48"/>
        <v>0</v>
      </c>
      <c r="Y65" s="197">
        <f t="shared" si="48"/>
        <v>0</v>
      </c>
      <c r="Z65" s="197">
        <f t="shared" si="48"/>
        <v>0</v>
      </c>
      <c r="AA65" s="197">
        <f t="shared" si="48"/>
        <v>0</v>
      </c>
      <c r="AB65" s="197">
        <f t="shared" si="48"/>
        <v>0</v>
      </c>
      <c r="AC65" s="197">
        <f t="shared" si="48"/>
        <v>0</v>
      </c>
      <c r="AD65" s="197">
        <f t="shared" si="48"/>
        <v>0</v>
      </c>
      <c r="AE65" s="197">
        <f t="shared" si="48"/>
        <v>0</v>
      </c>
      <c r="AF65" s="197">
        <f t="shared" si="48"/>
        <v>0</v>
      </c>
      <c r="AG65" s="197">
        <f t="shared" si="48"/>
        <v>0</v>
      </c>
      <c r="AH65" s="197">
        <f t="shared" si="48"/>
        <v>0</v>
      </c>
      <c r="AI65" s="197">
        <f t="shared" si="48"/>
        <v>0</v>
      </c>
      <c r="AJ65" s="197">
        <f t="shared" si="48"/>
        <v>0</v>
      </c>
      <c r="AK65" s="704">
        <f t="shared" si="1"/>
        <v>0</v>
      </c>
    </row>
    <row r="66" spans="1:37" x14ac:dyDescent="0.3">
      <c r="B66" s="154" t="s">
        <v>720</v>
      </c>
      <c r="C66" s="160" t="s">
        <v>322</v>
      </c>
      <c r="D66" s="160" t="s">
        <v>349</v>
      </c>
      <c r="E66" s="160" t="s">
        <v>678</v>
      </c>
      <c r="F66" s="451">
        <v>31</v>
      </c>
      <c r="G66" s="166">
        <v>1</v>
      </c>
      <c r="H66" s="676">
        <f>G66*IF(E66="P",SUMIF(PASIVA!$L:$L,'CF calc'!$F66,PASIVA!M:M)-SUMIF(PASIVA!$L:$L,'CF calc'!$F66,PASIVA!N:N),IF(E66="A",SUMIF(AKTIVA!$M:$M,'CF calc'!$F66,AKTIVA!P:P)-SUMIF(AKTIVA!$M:$M,'CF calc'!$F66,AKTIVA!Q:Q),IF(E66="V",SUMIF(VYSLEDOVKA!L:L,F66,VYSLEDOVKA!M:M),"-")))</f>
        <v>0</v>
      </c>
      <c r="I66" s="639"/>
      <c r="J66" s="639"/>
      <c r="K66" s="639"/>
      <c r="L66" s="639"/>
      <c r="M66" s="639"/>
      <c r="N66" s="639"/>
      <c r="O66" s="639"/>
      <c r="P66" s="689">
        <f t="shared" si="39"/>
        <v>0</v>
      </c>
      <c r="Q66" s="639"/>
      <c r="R66" s="639"/>
      <c r="S66" s="639"/>
      <c r="T66" s="639"/>
      <c r="U66" s="639"/>
      <c r="V66" s="639"/>
      <c r="W66" s="639"/>
      <c r="X66" s="639"/>
      <c r="Y66" s="639"/>
      <c r="Z66" s="640"/>
      <c r="AA66" s="640"/>
      <c r="AB66" s="640"/>
      <c r="AC66" s="640"/>
      <c r="AD66" s="640"/>
      <c r="AE66" s="640"/>
      <c r="AF66" s="640"/>
      <c r="AG66" s="640"/>
      <c r="AH66" s="640"/>
      <c r="AI66" s="640"/>
      <c r="AJ66" s="699"/>
      <c r="AK66" s="704">
        <f t="shared" si="1"/>
        <v>0</v>
      </c>
    </row>
    <row r="67" spans="1:37" x14ac:dyDescent="0.3">
      <c r="B67" s="154" t="s">
        <v>720</v>
      </c>
      <c r="C67" s="160" t="s">
        <v>214</v>
      </c>
      <c r="D67" s="160" t="s">
        <v>349</v>
      </c>
      <c r="E67" s="160" t="s">
        <v>678</v>
      </c>
      <c r="F67" s="451">
        <v>35</v>
      </c>
      <c r="G67" s="166">
        <v>1</v>
      </c>
      <c r="H67" s="676">
        <f>G67*IF(E67="P",SUMIF(PASIVA!$L:$L,'CF calc'!$F67,PASIVA!M:M)-SUMIF(PASIVA!$L:$L,'CF calc'!$F67,PASIVA!N:N),IF(E67="A",SUMIF(AKTIVA!$M:$M,'CF calc'!$F67,AKTIVA!P:P)-SUMIF(AKTIVA!$M:$M,'CF calc'!$F67,AKTIVA!Q:Q),IF(E67="V",SUMIF(VYSLEDOVKA!L:L,F67,VYSLEDOVKA!M:M),"-")))</f>
        <v>0</v>
      </c>
      <c r="I67" s="639"/>
      <c r="J67" s="639"/>
      <c r="K67" s="639"/>
      <c r="L67" s="639"/>
      <c r="M67" s="639"/>
      <c r="N67" s="639"/>
      <c r="O67" s="639"/>
      <c r="P67" s="689">
        <f t="shared" si="39"/>
        <v>0</v>
      </c>
      <c r="Q67" s="639"/>
      <c r="R67" s="639"/>
      <c r="S67" s="639"/>
      <c r="T67" s="639"/>
      <c r="U67" s="639"/>
      <c r="V67" s="639"/>
      <c r="W67" s="639"/>
      <c r="X67" s="639"/>
      <c r="Y67" s="641"/>
      <c r="Z67" s="642"/>
      <c r="AA67" s="642"/>
      <c r="AB67" s="642"/>
      <c r="AC67" s="642"/>
      <c r="AD67" s="642"/>
      <c r="AE67" s="642"/>
      <c r="AF67" s="642"/>
      <c r="AG67" s="642"/>
      <c r="AH67" s="642"/>
      <c r="AI67" s="642"/>
      <c r="AJ67" s="700"/>
      <c r="AK67" s="704">
        <f t="shared" si="1"/>
        <v>0</v>
      </c>
    </row>
    <row r="68" spans="1:37" x14ac:dyDescent="0.3">
      <c r="P68" s="689"/>
      <c r="AK68" s="704">
        <f t="shared" si="1"/>
        <v>0</v>
      </c>
    </row>
    <row r="69" spans="1:37" s="179" customFormat="1" x14ac:dyDescent="0.3">
      <c r="A69" s="208">
        <v>23</v>
      </c>
      <c r="C69" s="180" t="s">
        <v>646</v>
      </c>
      <c r="D69" s="180" t="s">
        <v>677</v>
      </c>
      <c r="E69" s="180" t="s">
        <v>279</v>
      </c>
      <c r="F69" s="457"/>
      <c r="G69" s="181"/>
      <c r="H69" s="684">
        <f t="shared" ref="H69:O69" si="49">H53++SUMIF($B:$B,$E69,H:H)</f>
        <v>0</v>
      </c>
      <c r="I69" s="200">
        <f t="shared" si="49"/>
        <v>0</v>
      </c>
      <c r="J69" s="200">
        <f t="shared" si="49"/>
        <v>0</v>
      </c>
      <c r="K69" s="200">
        <f t="shared" si="49"/>
        <v>0</v>
      </c>
      <c r="L69" s="200">
        <f t="shared" si="49"/>
        <v>0</v>
      </c>
      <c r="M69" s="200">
        <f t="shared" si="49"/>
        <v>0</v>
      </c>
      <c r="N69" s="200">
        <f t="shared" si="49"/>
        <v>0</v>
      </c>
      <c r="O69" s="200">
        <f t="shared" si="49"/>
        <v>0</v>
      </c>
      <c r="P69" s="697">
        <f t="shared" si="2"/>
        <v>0</v>
      </c>
      <c r="Q69" s="200">
        <f t="shared" ref="Q69:AJ69" si="50">Q53++SUMIF($B:$B,$E69,Q:Q)</f>
        <v>0</v>
      </c>
      <c r="R69" s="200">
        <f t="shared" si="50"/>
        <v>0</v>
      </c>
      <c r="S69" s="200">
        <f t="shared" si="50"/>
        <v>0</v>
      </c>
      <c r="T69" s="200">
        <f t="shared" si="50"/>
        <v>0</v>
      </c>
      <c r="U69" s="200">
        <f t="shared" si="50"/>
        <v>0</v>
      </c>
      <c r="V69" s="200">
        <f t="shared" si="50"/>
        <v>0</v>
      </c>
      <c r="W69" s="200">
        <f t="shared" si="50"/>
        <v>0</v>
      </c>
      <c r="X69" s="200">
        <f t="shared" si="50"/>
        <v>0</v>
      </c>
      <c r="Y69" s="200">
        <f t="shared" si="50"/>
        <v>0</v>
      </c>
      <c r="Z69" s="200">
        <f t="shared" si="50"/>
        <v>0</v>
      </c>
      <c r="AA69" s="200">
        <f t="shared" si="50"/>
        <v>0</v>
      </c>
      <c r="AB69" s="200">
        <f t="shared" si="50"/>
        <v>0</v>
      </c>
      <c r="AC69" s="200">
        <f t="shared" si="50"/>
        <v>0</v>
      </c>
      <c r="AD69" s="200">
        <f t="shared" si="50"/>
        <v>0</v>
      </c>
      <c r="AE69" s="200">
        <f t="shared" si="50"/>
        <v>0</v>
      </c>
      <c r="AF69" s="200">
        <f t="shared" si="50"/>
        <v>0</v>
      </c>
      <c r="AG69" s="200">
        <f t="shared" si="50"/>
        <v>0</v>
      </c>
      <c r="AH69" s="200">
        <f t="shared" si="50"/>
        <v>0</v>
      </c>
      <c r="AI69" s="200">
        <f t="shared" si="50"/>
        <v>0</v>
      </c>
      <c r="AJ69" s="200">
        <f t="shared" si="50"/>
        <v>0</v>
      </c>
      <c r="AK69" s="712">
        <f t="shared" si="1"/>
        <v>0</v>
      </c>
    </row>
    <row r="70" spans="1:37" x14ac:dyDescent="0.3">
      <c r="P70" s="689"/>
      <c r="AK70" s="704">
        <f t="shared" si="1"/>
        <v>0</v>
      </c>
    </row>
    <row r="71" spans="1:37" x14ac:dyDescent="0.3">
      <c r="A71" s="203">
        <v>24</v>
      </c>
      <c r="C71" s="160" t="s">
        <v>722</v>
      </c>
      <c r="P71" s="689">
        <f t="shared" si="2"/>
        <v>0</v>
      </c>
      <c r="AK71" s="704">
        <f t="shared" ref="AK71:AK98" si="51">SUM(P71:AJ71)</f>
        <v>0</v>
      </c>
    </row>
    <row r="72" spans="1:37" s="173" customFormat="1" x14ac:dyDescent="0.3">
      <c r="A72" s="205">
        <v>25</v>
      </c>
      <c r="B72" s="173" t="s">
        <v>725</v>
      </c>
      <c r="C72" s="174" t="s">
        <v>872</v>
      </c>
      <c r="D72" s="174" t="s">
        <v>677</v>
      </c>
      <c r="E72" s="174" t="s">
        <v>685</v>
      </c>
      <c r="F72" s="453"/>
      <c r="G72" s="175"/>
      <c r="H72" s="678">
        <f t="shared" ref="H72:O72" si="52">SUMIF($B:$B,$E72,H:H)</f>
        <v>0</v>
      </c>
      <c r="I72" s="197">
        <f t="shared" si="52"/>
        <v>0</v>
      </c>
      <c r="J72" s="197">
        <f t="shared" si="52"/>
        <v>0</v>
      </c>
      <c r="K72" s="197">
        <f t="shared" si="52"/>
        <v>0</v>
      </c>
      <c r="L72" s="197">
        <f t="shared" si="52"/>
        <v>0</v>
      </c>
      <c r="M72" s="197">
        <f t="shared" si="52"/>
        <v>0</v>
      </c>
      <c r="N72" s="197">
        <f t="shared" si="52"/>
        <v>0</v>
      </c>
      <c r="O72" s="197">
        <f t="shared" si="52"/>
        <v>0</v>
      </c>
      <c r="P72" s="691">
        <f t="shared" si="2"/>
        <v>0</v>
      </c>
      <c r="Q72" s="197">
        <f t="shared" ref="Q72:AJ72" si="53">SUMIF($B:$B,$E72,Q:Q)</f>
        <v>0</v>
      </c>
      <c r="R72" s="197">
        <f t="shared" si="53"/>
        <v>0</v>
      </c>
      <c r="S72" s="197">
        <f t="shared" si="53"/>
        <v>0</v>
      </c>
      <c r="T72" s="197">
        <f t="shared" si="53"/>
        <v>0</v>
      </c>
      <c r="U72" s="197">
        <f t="shared" si="53"/>
        <v>0</v>
      </c>
      <c r="V72" s="197">
        <f t="shared" si="53"/>
        <v>0</v>
      </c>
      <c r="W72" s="197">
        <f t="shared" si="53"/>
        <v>0</v>
      </c>
      <c r="X72" s="197">
        <f t="shared" si="53"/>
        <v>0</v>
      </c>
      <c r="Y72" s="197">
        <f t="shared" si="53"/>
        <v>0</v>
      </c>
      <c r="Z72" s="197">
        <f t="shared" si="53"/>
        <v>0</v>
      </c>
      <c r="AA72" s="197">
        <f t="shared" si="53"/>
        <v>0</v>
      </c>
      <c r="AB72" s="197">
        <f t="shared" si="53"/>
        <v>0</v>
      </c>
      <c r="AC72" s="197">
        <f t="shared" si="53"/>
        <v>0</v>
      </c>
      <c r="AD72" s="197">
        <f t="shared" si="53"/>
        <v>0</v>
      </c>
      <c r="AE72" s="197">
        <f t="shared" si="53"/>
        <v>0</v>
      </c>
      <c r="AF72" s="197">
        <f t="shared" si="53"/>
        <v>0</v>
      </c>
      <c r="AG72" s="197">
        <f t="shared" si="53"/>
        <v>0</v>
      </c>
      <c r="AH72" s="197">
        <f t="shared" si="53"/>
        <v>0</v>
      </c>
      <c r="AI72" s="197">
        <f t="shared" si="53"/>
        <v>0</v>
      </c>
      <c r="AJ72" s="197">
        <f t="shared" si="53"/>
        <v>0</v>
      </c>
      <c r="AK72" s="704">
        <f t="shared" si="51"/>
        <v>0</v>
      </c>
    </row>
    <row r="73" spans="1:37" x14ac:dyDescent="0.3">
      <c r="B73" s="154" t="s">
        <v>685</v>
      </c>
      <c r="C73" s="160" t="s">
        <v>662</v>
      </c>
      <c r="H73" s="676" t="s">
        <v>735</v>
      </c>
      <c r="I73" s="639"/>
      <c r="J73" s="639"/>
      <c r="K73" s="637"/>
      <c r="L73" s="639"/>
      <c r="M73" s="639"/>
      <c r="N73" s="639"/>
      <c r="O73" s="639"/>
      <c r="P73" s="689">
        <f t="shared" si="2"/>
        <v>0</v>
      </c>
      <c r="Q73" s="639"/>
      <c r="R73" s="639"/>
      <c r="S73" s="639"/>
      <c r="T73" s="639"/>
      <c r="U73" s="639"/>
      <c r="V73" s="639"/>
      <c r="W73" s="639"/>
      <c r="X73" s="639"/>
      <c r="Y73" s="639"/>
      <c r="Z73" s="640"/>
      <c r="AA73" s="637"/>
      <c r="AB73" s="640"/>
      <c r="AC73" s="640"/>
      <c r="AD73" s="640"/>
      <c r="AE73" s="640"/>
      <c r="AF73" s="640"/>
      <c r="AG73" s="640"/>
      <c r="AH73" s="640"/>
      <c r="AI73" s="640"/>
      <c r="AJ73" s="699"/>
      <c r="AK73" s="704">
        <f t="shared" si="51"/>
        <v>0</v>
      </c>
    </row>
    <row r="74" spans="1:37" x14ac:dyDescent="0.3">
      <c r="B74" s="154" t="s">
        <v>685</v>
      </c>
      <c r="C74" s="160" t="s">
        <v>664</v>
      </c>
      <c r="H74" s="676" t="s">
        <v>735</v>
      </c>
      <c r="I74" s="639"/>
      <c r="J74" s="639"/>
      <c r="K74" s="637"/>
      <c r="L74" s="639"/>
      <c r="M74" s="639"/>
      <c r="N74" s="639"/>
      <c r="O74" s="639"/>
      <c r="P74" s="689">
        <f t="shared" si="2"/>
        <v>0</v>
      </c>
      <c r="Q74" s="639"/>
      <c r="R74" s="639"/>
      <c r="S74" s="639"/>
      <c r="T74" s="639"/>
      <c r="U74" s="639"/>
      <c r="V74" s="639"/>
      <c r="W74" s="639"/>
      <c r="X74" s="639"/>
      <c r="Y74" s="643"/>
      <c r="Z74" s="644"/>
      <c r="AA74" s="648"/>
      <c r="AB74" s="644"/>
      <c r="AC74" s="644"/>
      <c r="AD74" s="644"/>
      <c r="AE74" s="644"/>
      <c r="AF74" s="644"/>
      <c r="AG74" s="644"/>
      <c r="AH74" s="644"/>
      <c r="AI74" s="644"/>
      <c r="AJ74" s="701"/>
      <c r="AK74" s="704">
        <f t="shared" si="51"/>
        <v>0</v>
      </c>
    </row>
    <row r="75" spans="1:37" x14ac:dyDescent="0.3">
      <c r="B75" s="154" t="s">
        <v>685</v>
      </c>
      <c r="C75" s="160" t="s">
        <v>665</v>
      </c>
      <c r="H75" s="676" t="s">
        <v>735</v>
      </c>
      <c r="I75" s="639"/>
      <c r="J75" s="639"/>
      <c r="K75" s="637"/>
      <c r="L75" s="639"/>
      <c r="M75" s="639"/>
      <c r="N75" s="639"/>
      <c r="O75" s="639"/>
      <c r="P75" s="689">
        <f t="shared" si="2"/>
        <v>0</v>
      </c>
      <c r="Q75" s="639"/>
      <c r="R75" s="639"/>
      <c r="S75" s="637"/>
      <c r="T75" s="639"/>
      <c r="U75" s="639"/>
      <c r="V75" s="639"/>
      <c r="W75" s="639"/>
      <c r="X75" s="639"/>
      <c r="Y75" s="641"/>
      <c r="Z75" s="642"/>
      <c r="AA75" s="642"/>
      <c r="AB75" s="642"/>
      <c r="AC75" s="642"/>
      <c r="AD75" s="642"/>
      <c r="AE75" s="642"/>
      <c r="AF75" s="642"/>
      <c r="AG75" s="642"/>
      <c r="AH75" s="642"/>
      <c r="AI75" s="642"/>
      <c r="AJ75" s="700"/>
      <c r="AK75" s="704">
        <f t="shared" si="51"/>
        <v>0</v>
      </c>
    </row>
    <row r="76" spans="1:37" s="173" customFormat="1" x14ac:dyDescent="0.3">
      <c r="A76" s="205">
        <v>26</v>
      </c>
      <c r="B76" s="173" t="s">
        <v>725</v>
      </c>
      <c r="C76" s="174" t="s">
        <v>647</v>
      </c>
      <c r="D76" s="174" t="s">
        <v>677</v>
      </c>
      <c r="E76" s="174" t="s">
        <v>686</v>
      </c>
      <c r="F76" s="453"/>
      <c r="G76" s="175"/>
      <c r="H76" s="678">
        <f t="shared" ref="H76:O76" si="54">SUMIF($B:$B,$E76,H:H)</f>
        <v>0</v>
      </c>
      <c r="I76" s="197">
        <f t="shared" si="54"/>
        <v>0</v>
      </c>
      <c r="J76" s="197">
        <f t="shared" si="54"/>
        <v>0</v>
      </c>
      <c r="K76" s="197">
        <f t="shared" si="54"/>
        <v>0</v>
      </c>
      <c r="L76" s="197">
        <f t="shared" si="54"/>
        <v>0</v>
      </c>
      <c r="M76" s="197">
        <f t="shared" si="54"/>
        <v>0</v>
      </c>
      <c r="N76" s="197">
        <f t="shared" si="54"/>
        <v>0</v>
      </c>
      <c r="O76" s="197">
        <f t="shared" si="54"/>
        <v>0</v>
      </c>
      <c r="P76" s="691">
        <f t="shared" si="2"/>
        <v>0</v>
      </c>
      <c r="Q76" s="197">
        <f t="shared" ref="Q76:AJ76" si="55">SUMIF($B:$B,$E76,Q:Q)</f>
        <v>0</v>
      </c>
      <c r="R76" s="197">
        <f t="shared" si="55"/>
        <v>0</v>
      </c>
      <c r="S76" s="197">
        <f t="shared" si="55"/>
        <v>0</v>
      </c>
      <c r="T76" s="197">
        <f t="shared" si="55"/>
        <v>0</v>
      </c>
      <c r="U76" s="197">
        <f t="shared" si="55"/>
        <v>0</v>
      </c>
      <c r="V76" s="197">
        <f t="shared" si="55"/>
        <v>0</v>
      </c>
      <c r="W76" s="197">
        <f t="shared" si="55"/>
        <v>0</v>
      </c>
      <c r="X76" s="197">
        <f t="shared" si="55"/>
        <v>0</v>
      </c>
      <c r="Y76" s="197">
        <f t="shared" si="55"/>
        <v>0</v>
      </c>
      <c r="Z76" s="197">
        <f t="shared" si="55"/>
        <v>0</v>
      </c>
      <c r="AA76" s="197">
        <f t="shared" si="55"/>
        <v>0</v>
      </c>
      <c r="AB76" s="197">
        <f t="shared" si="55"/>
        <v>0</v>
      </c>
      <c r="AC76" s="197">
        <f t="shared" si="55"/>
        <v>0</v>
      </c>
      <c r="AD76" s="197">
        <f t="shared" si="55"/>
        <v>0</v>
      </c>
      <c r="AE76" s="197">
        <f t="shared" si="55"/>
        <v>0</v>
      </c>
      <c r="AF76" s="197">
        <f t="shared" si="55"/>
        <v>0</v>
      </c>
      <c r="AG76" s="197">
        <f t="shared" si="55"/>
        <v>0</v>
      </c>
      <c r="AH76" s="197">
        <f t="shared" si="55"/>
        <v>0</v>
      </c>
      <c r="AI76" s="197">
        <f t="shared" si="55"/>
        <v>0</v>
      </c>
      <c r="AJ76" s="197">
        <f t="shared" si="55"/>
        <v>0</v>
      </c>
      <c r="AK76" s="704">
        <f t="shared" si="51"/>
        <v>0</v>
      </c>
    </row>
    <row r="77" spans="1:37" x14ac:dyDescent="0.3">
      <c r="B77" s="154" t="s">
        <v>686</v>
      </c>
      <c r="C77" s="160" t="s">
        <v>811</v>
      </c>
      <c r="D77" s="160" t="s">
        <v>349</v>
      </c>
      <c r="E77" s="160" t="s">
        <v>678</v>
      </c>
      <c r="F77" s="451">
        <v>21</v>
      </c>
      <c r="G77" s="166">
        <v>1</v>
      </c>
      <c r="H77" s="676">
        <f>G77*IF(E77="P",SUMIF(PASIVA!$L:$L,'CF calc'!$F77,PASIVA!M:M)-SUMIF(PASIVA!$L:$L,'CF calc'!$F77,PASIVA!N:N),IF(E77="A",SUMIF(AKTIVA!$M:$M,'CF calc'!$F77,AKTIVA!P:P)-SUMIF(AKTIVA!$M:$M,'CF calc'!$F77,AKTIVA!Q:Q),IF(E77="V",SUMIF(VYSLEDOVKA!L:L,F77,VYSLEDOVKA!M:M),"-")))</f>
        <v>0</v>
      </c>
      <c r="I77" s="639"/>
      <c r="J77" s="639"/>
      <c r="K77" s="639"/>
      <c r="L77" s="639"/>
      <c r="M77" s="639"/>
      <c r="N77" s="639"/>
      <c r="O77" s="639"/>
      <c r="P77" s="689">
        <f t="shared" si="2"/>
        <v>0</v>
      </c>
      <c r="Q77" s="639"/>
      <c r="R77" s="639"/>
      <c r="S77" s="639"/>
      <c r="T77" s="639"/>
      <c r="U77" s="639"/>
      <c r="V77" s="639"/>
      <c r="W77" s="639"/>
      <c r="X77" s="639"/>
      <c r="Y77" s="639"/>
      <c r="Z77" s="640"/>
      <c r="AA77" s="640"/>
      <c r="AB77" s="640"/>
      <c r="AC77" s="640"/>
      <c r="AD77" s="640"/>
      <c r="AE77" s="640"/>
      <c r="AF77" s="640"/>
      <c r="AG77" s="640"/>
      <c r="AH77" s="640"/>
      <c r="AI77" s="640"/>
      <c r="AJ77" s="699"/>
      <c r="AK77" s="704">
        <f t="shared" si="51"/>
        <v>0</v>
      </c>
    </row>
    <row r="78" spans="1:37" x14ac:dyDescent="0.3">
      <c r="B78" s="154" t="s">
        <v>686</v>
      </c>
      <c r="C78" s="160" t="s">
        <v>670</v>
      </c>
      <c r="D78" s="160" t="s">
        <v>349</v>
      </c>
      <c r="E78" s="160" t="s">
        <v>678</v>
      </c>
      <c r="F78" s="451">
        <v>31</v>
      </c>
      <c r="G78" s="166">
        <v>1</v>
      </c>
      <c r="H78" s="676">
        <f>G78*IF(E78="P",SUMIF(PASIVA!$L:$L,'CF calc'!$F78,PASIVA!M:M)-SUMIF(PASIVA!$L:$L,'CF calc'!$F78,PASIVA!N:N),IF(E78="A",SUMIF(AKTIVA!$M:$M,'CF calc'!$F78,AKTIVA!P:P)-SUMIF(AKTIVA!$M:$M,'CF calc'!$F78,AKTIVA!Q:Q),IF(E78="V",SUMIF(VYSLEDOVKA!L:L,F78,VYSLEDOVKA!M:M),"-")))</f>
        <v>0</v>
      </c>
      <c r="I78" s="639"/>
      <c r="J78" s="639"/>
      <c r="K78" s="639"/>
      <c r="L78" s="639"/>
      <c r="M78" s="639"/>
      <c r="N78" s="639"/>
      <c r="O78" s="639"/>
      <c r="P78" s="689">
        <f t="shared" si="2"/>
        <v>0</v>
      </c>
      <c r="Q78" s="639"/>
      <c r="R78" s="639"/>
      <c r="S78" s="639"/>
      <c r="T78" s="639"/>
      <c r="U78" s="639"/>
      <c r="V78" s="639"/>
      <c r="W78" s="637"/>
      <c r="X78" s="639"/>
      <c r="Y78" s="641"/>
      <c r="Z78" s="642"/>
      <c r="AA78" s="642"/>
      <c r="AB78" s="642"/>
      <c r="AC78" s="642"/>
      <c r="AD78" s="642"/>
      <c r="AE78" s="642"/>
      <c r="AF78" s="642"/>
      <c r="AG78" s="642"/>
      <c r="AH78" s="642"/>
      <c r="AI78" s="642"/>
      <c r="AJ78" s="700"/>
      <c r="AK78" s="704">
        <f t="shared" si="51"/>
        <v>0</v>
      </c>
    </row>
    <row r="79" spans="1:37" s="173" customFormat="1" x14ac:dyDescent="0.3">
      <c r="A79" s="205">
        <v>27</v>
      </c>
      <c r="B79" s="173" t="s">
        <v>725</v>
      </c>
      <c r="C79" s="174" t="s">
        <v>648</v>
      </c>
      <c r="D79" s="174" t="s">
        <v>677</v>
      </c>
      <c r="E79" s="174" t="s">
        <v>734</v>
      </c>
      <c r="F79" s="453"/>
      <c r="G79" s="175"/>
      <c r="H79" s="678">
        <f t="shared" ref="H79:O79" si="56">SUMIF($B:$B,$E79,H:H)</f>
        <v>0</v>
      </c>
      <c r="I79" s="197">
        <f t="shared" si="56"/>
        <v>0</v>
      </c>
      <c r="J79" s="197">
        <f t="shared" si="56"/>
        <v>0</v>
      </c>
      <c r="K79" s="197">
        <f t="shared" si="56"/>
        <v>0</v>
      </c>
      <c r="L79" s="197">
        <f t="shared" si="56"/>
        <v>0</v>
      </c>
      <c r="M79" s="197">
        <f t="shared" si="56"/>
        <v>0</v>
      </c>
      <c r="N79" s="197">
        <f t="shared" si="56"/>
        <v>0</v>
      </c>
      <c r="O79" s="197">
        <f t="shared" si="56"/>
        <v>0</v>
      </c>
      <c r="P79" s="691">
        <f t="shared" ref="P79" si="57">SUM(H79:O79)</f>
        <v>0</v>
      </c>
      <c r="Q79" s="197">
        <f t="shared" ref="Q79:AJ79" si="58">SUMIF($B:$B,$E79,Q:Q)</f>
        <v>0</v>
      </c>
      <c r="R79" s="197">
        <f t="shared" si="58"/>
        <v>0</v>
      </c>
      <c r="S79" s="197">
        <f t="shared" si="58"/>
        <v>0</v>
      </c>
      <c r="T79" s="197">
        <f t="shared" si="58"/>
        <v>0</v>
      </c>
      <c r="U79" s="197">
        <f t="shared" si="58"/>
        <v>0</v>
      </c>
      <c r="V79" s="197">
        <f t="shared" si="58"/>
        <v>0</v>
      </c>
      <c r="W79" s="197">
        <f t="shared" si="58"/>
        <v>0</v>
      </c>
      <c r="X79" s="197">
        <f t="shared" si="58"/>
        <v>0</v>
      </c>
      <c r="Y79" s="197">
        <f t="shared" si="58"/>
        <v>0</v>
      </c>
      <c r="Z79" s="197">
        <f t="shared" si="58"/>
        <v>0</v>
      </c>
      <c r="AA79" s="197">
        <f t="shared" si="58"/>
        <v>0</v>
      </c>
      <c r="AB79" s="197">
        <f t="shared" si="58"/>
        <v>0</v>
      </c>
      <c r="AC79" s="197">
        <f t="shared" si="58"/>
        <v>0</v>
      </c>
      <c r="AD79" s="197">
        <f t="shared" si="58"/>
        <v>0</v>
      </c>
      <c r="AE79" s="197">
        <f t="shared" si="58"/>
        <v>0</v>
      </c>
      <c r="AF79" s="197">
        <f t="shared" si="58"/>
        <v>0</v>
      </c>
      <c r="AG79" s="197">
        <f t="shared" si="58"/>
        <v>0</v>
      </c>
      <c r="AH79" s="197">
        <f t="shared" si="58"/>
        <v>0</v>
      </c>
      <c r="AI79" s="197">
        <f t="shared" si="58"/>
        <v>0</v>
      </c>
      <c r="AJ79" s="197">
        <f t="shared" si="58"/>
        <v>0</v>
      </c>
      <c r="AK79" s="704">
        <f t="shared" si="51"/>
        <v>0</v>
      </c>
    </row>
    <row r="80" spans="1:37" x14ac:dyDescent="0.3">
      <c r="B80" s="154" t="s">
        <v>734</v>
      </c>
      <c r="C80" s="160" t="s">
        <v>812</v>
      </c>
      <c r="D80" s="160" t="s">
        <v>681</v>
      </c>
      <c r="E80" s="160" t="s">
        <v>279</v>
      </c>
      <c r="F80" s="451">
        <v>31</v>
      </c>
      <c r="G80" s="166">
        <v>-1</v>
      </c>
      <c r="H80" s="676">
        <f>G80*IF(E80="P",SUMIF(PASIVA!$L:$L,'CF calc'!$F80,PASIVA!M:M)-SUMIF(PASIVA!$L:$L,'CF calc'!$F80,PASIVA!N:N),IF(E80="A",SUMIF(AKTIVA!$M:$M,'CF calc'!$F80,AKTIVA!P:P)-SUMIF(AKTIVA!$M:$M,'CF calc'!$F80,AKTIVA!Q:Q),IF(E80="V",SUMIF(VYSLEDOVKA!L:L,F80,VYSLEDOVKA!M:M),"-")))</f>
        <v>0</v>
      </c>
      <c r="I80" s="639"/>
      <c r="J80" s="639"/>
      <c r="K80" s="639"/>
      <c r="L80" s="639"/>
      <c r="M80" s="639"/>
      <c r="N80" s="639"/>
      <c r="O80" s="639"/>
      <c r="P80" s="689">
        <f t="shared" ref="P80" si="59">SUM(H80:O80)</f>
        <v>0</v>
      </c>
      <c r="Q80" s="639"/>
      <c r="R80" s="639"/>
      <c r="S80" s="639"/>
      <c r="T80" s="639"/>
      <c r="U80" s="639"/>
      <c r="V80" s="639"/>
      <c r="W80" s="639"/>
      <c r="X80" s="639"/>
      <c r="Y80" s="645"/>
      <c r="Z80" s="646"/>
      <c r="AA80" s="646"/>
      <c r="AB80" s="646"/>
      <c r="AC80" s="646"/>
      <c r="AD80" s="646"/>
      <c r="AE80" s="647"/>
      <c r="AF80" s="646"/>
      <c r="AG80" s="646"/>
      <c r="AH80" s="646"/>
      <c r="AI80" s="646"/>
      <c r="AJ80" s="649"/>
      <c r="AK80" s="704">
        <f t="shared" si="51"/>
        <v>0</v>
      </c>
    </row>
    <row r="81" spans="1:37" x14ac:dyDescent="0.3">
      <c r="P81" s="689"/>
      <c r="AK81" s="704">
        <f t="shared" si="51"/>
        <v>0</v>
      </c>
    </row>
    <row r="82" spans="1:37" s="179" customFormat="1" x14ac:dyDescent="0.3">
      <c r="A82" s="208">
        <v>28</v>
      </c>
      <c r="C82" s="180" t="s">
        <v>649</v>
      </c>
      <c r="D82" s="180"/>
      <c r="E82" s="180" t="s">
        <v>725</v>
      </c>
      <c r="F82" s="457"/>
      <c r="G82" s="181"/>
      <c r="H82" s="684">
        <f t="shared" ref="H82:O82" si="60">SUMIF($B:$B,$E82,H:H)</f>
        <v>0</v>
      </c>
      <c r="I82" s="200">
        <f t="shared" si="60"/>
        <v>0</v>
      </c>
      <c r="J82" s="200">
        <f t="shared" si="60"/>
        <v>0</v>
      </c>
      <c r="K82" s="200">
        <f t="shared" si="60"/>
        <v>0</v>
      </c>
      <c r="L82" s="200">
        <f t="shared" si="60"/>
        <v>0</v>
      </c>
      <c r="M82" s="200">
        <f t="shared" si="60"/>
        <v>0</v>
      </c>
      <c r="N82" s="200">
        <f t="shared" si="60"/>
        <v>0</v>
      </c>
      <c r="O82" s="200">
        <f t="shared" si="60"/>
        <v>0</v>
      </c>
      <c r="P82" s="697">
        <f t="shared" si="2"/>
        <v>0</v>
      </c>
      <c r="Q82" s="200">
        <f t="shared" ref="Q82:AJ82" si="61">SUMIF($B:$B,$E82,Q:Q)</f>
        <v>0</v>
      </c>
      <c r="R82" s="200">
        <f t="shared" si="61"/>
        <v>0</v>
      </c>
      <c r="S82" s="200">
        <f t="shared" si="61"/>
        <v>0</v>
      </c>
      <c r="T82" s="200">
        <f t="shared" si="61"/>
        <v>0</v>
      </c>
      <c r="U82" s="200">
        <f t="shared" si="61"/>
        <v>0</v>
      </c>
      <c r="V82" s="200">
        <f t="shared" si="61"/>
        <v>0</v>
      </c>
      <c r="W82" s="200">
        <f t="shared" si="61"/>
        <v>0</v>
      </c>
      <c r="X82" s="200">
        <f t="shared" si="61"/>
        <v>0</v>
      </c>
      <c r="Y82" s="200">
        <f t="shared" si="61"/>
        <v>0</v>
      </c>
      <c r="Z82" s="200">
        <f t="shared" si="61"/>
        <v>0</v>
      </c>
      <c r="AA82" s="200">
        <f t="shared" si="61"/>
        <v>0</v>
      </c>
      <c r="AB82" s="200">
        <f t="shared" si="61"/>
        <v>0</v>
      </c>
      <c r="AC82" s="200">
        <f t="shared" si="61"/>
        <v>0</v>
      </c>
      <c r="AD82" s="200">
        <f t="shared" si="61"/>
        <v>0</v>
      </c>
      <c r="AE82" s="200">
        <f t="shared" si="61"/>
        <v>0</v>
      </c>
      <c r="AF82" s="200">
        <f t="shared" si="61"/>
        <v>0</v>
      </c>
      <c r="AG82" s="200">
        <f t="shared" si="61"/>
        <v>0</v>
      </c>
      <c r="AH82" s="200">
        <f t="shared" si="61"/>
        <v>0</v>
      </c>
      <c r="AI82" s="200">
        <f t="shared" si="61"/>
        <v>0</v>
      </c>
      <c r="AJ82" s="200">
        <f t="shared" si="61"/>
        <v>0</v>
      </c>
      <c r="AK82" s="712">
        <f t="shared" si="51"/>
        <v>0</v>
      </c>
    </row>
    <row r="83" spans="1:37" x14ac:dyDescent="0.3">
      <c r="P83" s="689"/>
      <c r="AK83" s="704">
        <f t="shared" si="51"/>
        <v>0</v>
      </c>
    </row>
    <row r="84" spans="1:37" x14ac:dyDescent="0.3">
      <c r="A84" s="203">
        <v>29</v>
      </c>
      <c r="C84" s="160" t="s">
        <v>726</v>
      </c>
      <c r="P84" s="689">
        <f t="shared" si="2"/>
        <v>0</v>
      </c>
      <c r="AK84" s="704">
        <f t="shared" si="51"/>
        <v>0</v>
      </c>
    </row>
    <row r="85" spans="1:37" s="173" customFormat="1" x14ac:dyDescent="0.3">
      <c r="A85" s="205">
        <v>30</v>
      </c>
      <c r="B85" s="173" t="s">
        <v>728</v>
      </c>
      <c r="C85" s="174" t="s">
        <v>650</v>
      </c>
      <c r="D85" s="174" t="s">
        <v>677</v>
      </c>
      <c r="E85" s="174" t="s">
        <v>727</v>
      </c>
      <c r="F85" s="453"/>
      <c r="G85" s="175"/>
      <c r="H85" s="678">
        <f t="shared" ref="H85:O85" si="62">SUMIF($B:$B,$E85,H:H)</f>
        <v>0</v>
      </c>
      <c r="I85" s="197">
        <f t="shared" si="62"/>
        <v>0</v>
      </c>
      <c r="J85" s="197">
        <f t="shared" si="62"/>
        <v>0</v>
      </c>
      <c r="K85" s="197">
        <f t="shared" si="62"/>
        <v>0</v>
      </c>
      <c r="L85" s="197">
        <f t="shared" si="62"/>
        <v>0</v>
      </c>
      <c r="M85" s="197">
        <f t="shared" si="62"/>
        <v>0</v>
      </c>
      <c r="N85" s="197">
        <f t="shared" si="62"/>
        <v>0</v>
      </c>
      <c r="O85" s="197">
        <f t="shared" si="62"/>
        <v>0</v>
      </c>
      <c r="P85" s="691">
        <f t="shared" ref="P85" si="63">SUM(H85:O85)</f>
        <v>0</v>
      </c>
      <c r="Q85" s="197">
        <f t="shared" ref="Q85:AJ85" si="64">SUMIF($B:$B,$E85,Q:Q)</f>
        <v>0</v>
      </c>
      <c r="R85" s="197">
        <f t="shared" si="64"/>
        <v>0</v>
      </c>
      <c r="S85" s="197">
        <f t="shared" si="64"/>
        <v>0</v>
      </c>
      <c r="T85" s="197">
        <f t="shared" si="64"/>
        <v>0</v>
      </c>
      <c r="U85" s="197">
        <f t="shared" si="64"/>
        <v>0</v>
      </c>
      <c r="V85" s="197">
        <f t="shared" si="64"/>
        <v>0</v>
      </c>
      <c r="W85" s="197">
        <f t="shared" si="64"/>
        <v>0</v>
      </c>
      <c r="X85" s="197">
        <f t="shared" si="64"/>
        <v>0</v>
      </c>
      <c r="Y85" s="197">
        <f t="shared" si="64"/>
        <v>0</v>
      </c>
      <c r="Z85" s="197">
        <f t="shared" si="64"/>
        <v>0</v>
      </c>
      <c r="AA85" s="197">
        <f t="shared" si="64"/>
        <v>0</v>
      </c>
      <c r="AB85" s="197">
        <f t="shared" si="64"/>
        <v>0</v>
      </c>
      <c r="AC85" s="197">
        <f t="shared" si="64"/>
        <v>0</v>
      </c>
      <c r="AD85" s="197">
        <f t="shared" si="64"/>
        <v>0</v>
      </c>
      <c r="AE85" s="197">
        <f t="shared" si="64"/>
        <v>0</v>
      </c>
      <c r="AF85" s="197">
        <f t="shared" si="64"/>
        <v>0</v>
      </c>
      <c r="AG85" s="197">
        <f t="shared" si="64"/>
        <v>0</v>
      </c>
      <c r="AH85" s="197">
        <f t="shared" si="64"/>
        <v>0</v>
      </c>
      <c r="AI85" s="197">
        <f t="shared" si="64"/>
        <v>0</v>
      </c>
      <c r="AJ85" s="197">
        <f t="shared" si="64"/>
        <v>0</v>
      </c>
      <c r="AK85" s="704">
        <f t="shared" si="51"/>
        <v>0</v>
      </c>
    </row>
    <row r="86" spans="1:37" x14ac:dyDescent="0.3">
      <c r="B86" s="154" t="s">
        <v>727</v>
      </c>
      <c r="C86" s="160" t="s">
        <v>913</v>
      </c>
      <c r="D86" s="160" t="s">
        <v>681</v>
      </c>
      <c r="E86" s="160" t="s">
        <v>291</v>
      </c>
      <c r="F86" s="451">
        <v>107</v>
      </c>
      <c r="G86" s="166">
        <v>1</v>
      </c>
      <c r="H86" s="676">
        <f>G86*IF(E86="P",SUMIF(PASIVA!$L:$L,'CF calc'!$F86,PASIVA!M:M)-SUMIF(PASIVA!$L:$L,'CF calc'!$F86,PASIVA!N:N),IF(E86="A",SUMIF(AKTIVA!$M:$M,'CF calc'!$F86,AKTIVA!P:P)-SUMIF(AKTIVA!$M:$M,'CF calc'!$F86,AKTIVA!Q:Q),IF(E86="V",SUMIF(VYSLEDOVKA!L:L,F86,VYSLEDOVKA!M:M),"-")))</f>
        <v>0</v>
      </c>
      <c r="I86" s="639"/>
      <c r="J86" s="639"/>
      <c r="K86" s="639"/>
      <c r="L86" s="639"/>
      <c r="M86" s="639"/>
      <c r="N86" s="639"/>
      <c r="O86" s="639"/>
      <c r="P86" s="689">
        <f t="shared" si="2"/>
        <v>0</v>
      </c>
      <c r="Q86" s="639"/>
      <c r="R86" s="639"/>
      <c r="S86" s="639"/>
      <c r="T86" s="637"/>
      <c r="U86" s="639"/>
      <c r="V86" s="639"/>
      <c r="W86" s="639"/>
      <c r="X86" s="637"/>
      <c r="Y86" s="639"/>
      <c r="Z86" s="640"/>
      <c r="AA86" s="640"/>
      <c r="AB86" s="640"/>
      <c r="AC86" s="640"/>
      <c r="AD86" s="640"/>
      <c r="AE86" s="637"/>
      <c r="AF86" s="640"/>
      <c r="AG86" s="640"/>
      <c r="AH86" s="640"/>
      <c r="AI86" s="640"/>
      <c r="AJ86" s="699"/>
      <c r="AK86" s="704">
        <f t="shared" si="51"/>
        <v>0</v>
      </c>
    </row>
    <row r="87" spans="1:37" x14ac:dyDescent="0.3">
      <c r="B87" s="154" t="s">
        <v>727</v>
      </c>
      <c r="C87" s="160" t="s">
        <v>914</v>
      </c>
      <c r="D87" s="160" t="s">
        <v>681</v>
      </c>
      <c r="E87" s="160" t="s">
        <v>291</v>
      </c>
      <c r="F87" s="451" t="s">
        <v>262</v>
      </c>
      <c r="G87" s="166">
        <v>1</v>
      </c>
      <c r="H87" s="676">
        <f>G87*IF(E87="P",SUMIF(PASIVA!$L:$L,'CF calc'!$F87,PASIVA!M:M)-SUMIF(PASIVA!$L:$L,'CF calc'!$F87,PASIVA!N:N),IF(E87="A",SUMIF(AKTIVA!$M:$M,'CF calc'!$F87,AKTIVA!P:P)-SUMIF(AKTIVA!$M:$M,'CF calc'!$F87,AKTIVA!Q:Q),IF(E87="V",SUMIF(VYSLEDOVKA!L:L,F87,VYSLEDOVKA!M:M),"-")))</f>
        <v>0</v>
      </c>
      <c r="I87" s="639"/>
      <c r="J87" s="639"/>
      <c r="K87" s="639"/>
      <c r="L87" s="639"/>
      <c r="M87" s="639"/>
      <c r="N87" s="639"/>
      <c r="O87" s="639"/>
      <c r="P87" s="689">
        <f t="shared" si="2"/>
        <v>0</v>
      </c>
      <c r="Q87" s="639"/>
      <c r="R87" s="639"/>
      <c r="S87" s="639"/>
      <c r="T87" s="639"/>
      <c r="U87" s="639"/>
      <c r="V87" s="639"/>
      <c r="W87" s="639"/>
      <c r="X87" s="637"/>
      <c r="Y87" s="641"/>
      <c r="Z87" s="642"/>
      <c r="AA87" s="642"/>
      <c r="AB87" s="642"/>
      <c r="AC87" s="642"/>
      <c r="AD87" s="642"/>
      <c r="AE87" s="638"/>
      <c r="AF87" s="642"/>
      <c r="AG87" s="642"/>
      <c r="AH87" s="642"/>
      <c r="AI87" s="642"/>
      <c r="AJ87" s="700"/>
      <c r="AK87" s="704">
        <f t="shared" si="51"/>
        <v>0</v>
      </c>
    </row>
    <row r="88" spans="1:37" s="173" customFormat="1" x14ac:dyDescent="0.3">
      <c r="A88" s="205">
        <v>31</v>
      </c>
      <c r="B88" s="173" t="s">
        <v>728</v>
      </c>
      <c r="C88" s="174" t="s">
        <v>651</v>
      </c>
      <c r="D88" s="174" t="s">
        <v>677</v>
      </c>
      <c r="E88" s="174" t="s">
        <v>687</v>
      </c>
      <c r="F88" s="453"/>
      <c r="G88" s="175"/>
      <c r="H88" s="678">
        <f t="shared" ref="H88:O88" si="65">SUMIF($B:$B,$E88,H:H)</f>
        <v>0</v>
      </c>
      <c r="I88" s="197">
        <f t="shared" si="65"/>
        <v>0</v>
      </c>
      <c r="J88" s="197">
        <f t="shared" si="65"/>
        <v>0</v>
      </c>
      <c r="K88" s="197">
        <f t="shared" si="65"/>
        <v>0</v>
      </c>
      <c r="L88" s="197">
        <f t="shared" si="65"/>
        <v>0</v>
      </c>
      <c r="M88" s="197">
        <f t="shared" si="65"/>
        <v>0</v>
      </c>
      <c r="N88" s="197">
        <f t="shared" si="65"/>
        <v>0</v>
      </c>
      <c r="O88" s="197">
        <f t="shared" si="65"/>
        <v>0</v>
      </c>
      <c r="P88" s="691">
        <f t="shared" si="2"/>
        <v>0</v>
      </c>
      <c r="Q88" s="197">
        <f t="shared" ref="Q88:AJ88" si="66">SUMIF($B:$B,$E88,Q:Q)</f>
        <v>0</v>
      </c>
      <c r="R88" s="197">
        <f t="shared" si="66"/>
        <v>0</v>
      </c>
      <c r="S88" s="197">
        <f t="shared" si="66"/>
        <v>0</v>
      </c>
      <c r="T88" s="197">
        <f t="shared" si="66"/>
        <v>0</v>
      </c>
      <c r="U88" s="197">
        <f t="shared" si="66"/>
        <v>0</v>
      </c>
      <c r="V88" s="197">
        <f t="shared" si="66"/>
        <v>0</v>
      </c>
      <c r="W88" s="197">
        <f t="shared" si="66"/>
        <v>0</v>
      </c>
      <c r="X88" s="197">
        <f t="shared" si="66"/>
        <v>0</v>
      </c>
      <c r="Y88" s="197">
        <f t="shared" si="66"/>
        <v>0</v>
      </c>
      <c r="Z88" s="197">
        <f t="shared" si="66"/>
        <v>0</v>
      </c>
      <c r="AA88" s="197">
        <f t="shared" si="66"/>
        <v>0</v>
      </c>
      <c r="AB88" s="197">
        <f t="shared" si="66"/>
        <v>0</v>
      </c>
      <c r="AC88" s="197">
        <f t="shared" si="66"/>
        <v>0</v>
      </c>
      <c r="AD88" s="197">
        <f t="shared" si="66"/>
        <v>0</v>
      </c>
      <c r="AE88" s="197">
        <f t="shared" si="66"/>
        <v>0</v>
      </c>
      <c r="AF88" s="197">
        <f t="shared" si="66"/>
        <v>0</v>
      </c>
      <c r="AG88" s="197">
        <f t="shared" si="66"/>
        <v>0</v>
      </c>
      <c r="AH88" s="197">
        <f t="shared" si="66"/>
        <v>0</v>
      </c>
      <c r="AI88" s="197">
        <f t="shared" si="66"/>
        <v>0</v>
      </c>
      <c r="AJ88" s="197">
        <f t="shared" si="66"/>
        <v>0</v>
      </c>
      <c r="AK88" s="704">
        <f t="shared" si="51"/>
        <v>0</v>
      </c>
    </row>
    <row r="89" spans="1:37" x14ac:dyDescent="0.3">
      <c r="A89" s="203">
        <v>32</v>
      </c>
      <c r="B89" s="154" t="s">
        <v>687</v>
      </c>
      <c r="C89" s="160" t="s">
        <v>915</v>
      </c>
      <c r="D89" s="160" t="s">
        <v>681</v>
      </c>
      <c r="E89" s="160" t="s">
        <v>291</v>
      </c>
      <c r="F89" s="451">
        <v>80</v>
      </c>
      <c r="G89" s="166">
        <v>1</v>
      </c>
      <c r="H89" s="676">
        <f>G89*IF(E89="P",SUMIF(PASIVA!$L:$L,'CF calc'!$F89,PASIVA!M:M)-SUMIF(PASIVA!$L:$L,'CF calc'!$F89,PASIVA!N:N),IF(E89="A",SUMIF(AKTIVA!$M:$M,'CF calc'!$F89,AKTIVA!P:P)-SUMIF(AKTIVA!$M:$M,'CF calc'!$F89,AKTIVA!Q:Q),IF(E89="V",SUMIF(VYSLEDOVKA!L:L,F89,VYSLEDOVKA!M:M),"-")))</f>
        <v>0</v>
      </c>
      <c r="I89" s="639"/>
      <c r="J89" s="639"/>
      <c r="K89" s="639"/>
      <c r="L89" s="637"/>
      <c r="M89" s="639"/>
      <c r="N89" s="639"/>
      <c r="O89" s="639"/>
      <c r="P89" s="689">
        <f t="shared" si="2"/>
        <v>0</v>
      </c>
      <c r="Q89" s="639"/>
      <c r="R89" s="639"/>
      <c r="S89" s="639"/>
      <c r="T89" s="639"/>
      <c r="U89" s="639"/>
      <c r="V89" s="639"/>
      <c r="W89" s="639"/>
      <c r="X89" s="639"/>
      <c r="Y89" s="639"/>
      <c r="Z89" s="640"/>
      <c r="AA89" s="640"/>
      <c r="AB89" s="640"/>
      <c r="AC89" s="640"/>
      <c r="AD89" s="640"/>
      <c r="AE89" s="640"/>
      <c r="AF89" s="640"/>
      <c r="AG89" s="640"/>
      <c r="AH89" s="640"/>
      <c r="AI89" s="640"/>
      <c r="AJ89" s="699"/>
      <c r="AK89" s="704">
        <f t="shared" si="51"/>
        <v>0</v>
      </c>
    </row>
    <row r="90" spans="1:37" x14ac:dyDescent="0.3">
      <c r="A90" s="203">
        <v>32</v>
      </c>
      <c r="B90" s="154" t="s">
        <v>687</v>
      </c>
      <c r="C90" s="160" t="s">
        <v>916</v>
      </c>
      <c r="D90" s="160" t="s">
        <v>681</v>
      </c>
      <c r="E90" s="160" t="s">
        <v>291</v>
      </c>
      <c r="F90" s="451">
        <v>85</v>
      </c>
      <c r="G90" s="166">
        <v>1</v>
      </c>
      <c r="H90" s="676">
        <f>G90*IF(E90="P",SUMIF(PASIVA!$L:$L,'CF calc'!$F90,PASIVA!M:M)-SUMIF(PASIVA!$L:$L,'CF calc'!$F90,PASIVA!N:N),IF(E90="A",SUMIF(AKTIVA!$M:$M,'CF calc'!$F90,AKTIVA!P:P)-SUMIF(AKTIVA!$M:$M,'CF calc'!$F90,AKTIVA!Q:Q),IF(E90="V",SUMIF(VYSLEDOVKA!L:L,F90,VYSLEDOVKA!M:M),"-")))</f>
        <v>0</v>
      </c>
      <c r="I90" s="639"/>
      <c r="J90" s="639"/>
      <c r="K90" s="639"/>
      <c r="L90" s="637"/>
      <c r="M90" s="639"/>
      <c r="N90" s="639"/>
      <c r="O90" s="639"/>
      <c r="P90" s="689">
        <f t="shared" si="2"/>
        <v>0</v>
      </c>
      <c r="Q90" s="639"/>
      <c r="R90" s="639"/>
      <c r="S90" s="639"/>
      <c r="T90" s="639"/>
      <c r="U90" s="639"/>
      <c r="V90" s="639"/>
      <c r="W90" s="639"/>
      <c r="X90" s="639"/>
      <c r="Y90" s="643"/>
      <c r="Z90" s="644"/>
      <c r="AA90" s="644"/>
      <c r="AB90" s="644"/>
      <c r="AC90" s="644"/>
      <c r="AD90" s="644"/>
      <c r="AE90" s="644"/>
      <c r="AF90" s="644"/>
      <c r="AG90" s="644"/>
      <c r="AH90" s="644"/>
      <c r="AI90" s="644"/>
      <c r="AJ90" s="701"/>
      <c r="AK90" s="704">
        <f t="shared" si="51"/>
        <v>0</v>
      </c>
    </row>
    <row r="91" spans="1:37" x14ac:dyDescent="0.3">
      <c r="A91" s="203">
        <v>32</v>
      </c>
      <c r="B91" s="154" t="s">
        <v>687</v>
      </c>
      <c r="C91" s="160" t="s">
        <v>917</v>
      </c>
      <c r="D91" s="160" t="s">
        <v>681</v>
      </c>
      <c r="E91" s="160" t="s">
        <v>291</v>
      </c>
      <c r="F91" s="451">
        <v>87</v>
      </c>
      <c r="G91" s="166">
        <v>1</v>
      </c>
      <c r="H91" s="676">
        <f>G91*IF(E91="P",SUMIF(PASIVA!$L:$L,'CF calc'!$F91,PASIVA!M:M)-SUMIF(PASIVA!$L:$L,'CF calc'!$F91,PASIVA!N:N),IF(E91="A",SUMIF(AKTIVA!$M:$M,'CF calc'!$F91,AKTIVA!P:P)-SUMIF(AKTIVA!$M:$M,'CF calc'!$F91,AKTIVA!Q:Q),IF(E91="V",SUMIF(VYSLEDOVKA!L:L,F91,VYSLEDOVKA!M:M),"-")))</f>
        <v>0</v>
      </c>
      <c r="I91" s="639"/>
      <c r="J91" s="639"/>
      <c r="K91" s="639"/>
      <c r="L91" s="637"/>
      <c r="M91" s="639"/>
      <c r="N91" s="639"/>
      <c r="O91" s="639"/>
      <c r="P91" s="689">
        <f t="shared" si="2"/>
        <v>0</v>
      </c>
      <c r="Q91" s="639"/>
      <c r="R91" s="639"/>
      <c r="S91" s="639"/>
      <c r="T91" s="639"/>
      <c r="U91" s="639"/>
      <c r="V91" s="639"/>
      <c r="W91" s="639"/>
      <c r="X91" s="639"/>
      <c r="Y91" s="643"/>
      <c r="Z91" s="644"/>
      <c r="AA91" s="644"/>
      <c r="AB91" s="644"/>
      <c r="AC91" s="644"/>
      <c r="AD91" s="644"/>
      <c r="AE91" s="644"/>
      <c r="AF91" s="644"/>
      <c r="AG91" s="644"/>
      <c r="AH91" s="644"/>
      <c r="AI91" s="644"/>
      <c r="AJ91" s="701"/>
      <c r="AK91" s="704">
        <f t="shared" si="51"/>
        <v>0</v>
      </c>
    </row>
    <row r="92" spans="1:37" x14ac:dyDescent="0.3">
      <c r="A92" s="203">
        <v>33</v>
      </c>
      <c r="B92" s="154" t="s">
        <v>687</v>
      </c>
      <c r="C92" s="160" t="s">
        <v>825</v>
      </c>
      <c r="H92" s="676" t="s">
        <v>735</v>
      </c>
      <c r="I92" s="639"/>
      <c r="J92" s="639"/>
      <c r="K92" s="639"/>
      <c r="L92" s="637"/>
      <c r="M92" s="639"/>
      <c r="N92" s="639"/>
      <c r="O92" s="639"/>
      <c r="P92" s="689">
        <f t="shared" si="2"/>
        <v>0</v>
      </c>
      <c r="Q92" s="639"/>
      <c r="R92" s="639"/>
      <c r="S92" s="639"/>
      <c r="T92" s="639"/>
      <c r="U92" s="639"/>
      <c r="V92" s="639"/>
      <c r="W92" s="639"/>
      <c r="X92" s="639"/>
      <c r="Y92" s="643"/>
      <c r="Z92" s="644"/>
      <c r="AA92" s="644"/>
      <c r="AB92" s="644"/>
      <c r="AC92" s="644"/>
      <c r="AD92" s="644"/>
      <c r="AE92" s="644"/>
      <c r="AF92" s="644"/>
      <c r="AG92" s="644"/>
      <c r="AH92" s="644"/>
      <c r="AI92" s="644"/>
      <c r="AJ92" s="701"/>
      <c r="AK92" s="704">
        <f t="shared" si="51"/>
        <v>0</v>
      </c>
    </row>
    <row r="93" spans="1:37" x14ac:dyDescent="0.3">
      <c r="A93" s="203">
        <v>34</v>
      </c>
      <c r="B93" s="154" t="s">
        <v>687</v>
      </c>
      <c r="C93" s="160" t="s">
        <v>826</v>
      </c>
      <c r="H93" s="676" t="s">
        <v>735</v>
      </c>
      <c r="I93" s="639"/>
      <c r="J93" s="639"/>
      <c r="K93" s="639"/>
      <c r="L93" s="637"/>
      <c r="M93" s="639"/>
      <c r="N93" s="639"/>
      <c r="O93" s="639"/>
      <c r="P93" s="689">
        <f t="shared" si="2"/>
        <v>0</v>
      </c>
      <c r="Q93" s="639"/>
      <c r="R93" s="639"/>
      <c r="S93" s="639"/>
      <c r="T93" s="639"/>
      <c r="U93" s="639"/>
      <c r="V93" s="639"/>
      <c r="W93" s="639"/>
      <c r="X93" s="639"/>
      <c r="Y93" s="643"/>
      <c r="Z93" s="644"/>
      <c r="AA93" s="644"/>
      <c r="AB93" s="644"/>
      <c r="AC93" s="644"/>
      <c r="AD93" s="644"/>
      <c r="AE93" s="644"/>
      <c r="AF93" s="644"/>
      <c r="AG93" s="644"/>
      <c r="AH93" s="644"/>
      <c r="AI93" s="644"/>
      <c r="AJ93" s="701"/>
      <c r="AK93" s="704">
        <f t="shared" si="51"/>
        <v>0</v>
      </c>
    </row>
    <row r="94" spans="1:37" x14ac:dyDescent="0.3">
      <c r="A94" s="203">
        <v>35</v>
      </c>
      <c r="B94" s="154" t="s">
        <v>687</v>
      </c>
      <c r="C94" s="160" t="s">
        <v>827</v>
      </c>
      <c r="H94" s="676" t="s">
        <v>735</v>
      </c>
      <c r="I94" s="639"/>
      <c r="J94" s="639"/>
      <c r="K94" s="639"/>
      <c r="L94" s="637"/>
      <c r="M94" s="639"/>
      <c r="N94" s="639"/>
      <c r="O94" s="639"/>
      <c r="P94" s="689">
        <f t="shared" si="2"/>
        <v>0</v>
      </c>
      <c r="Q94" s="639"/>
      <c r="R94" s="639"/>
      <c r="S94" s="639"/>
      <c r="T94" s="639"/>
      <c r="U94" s="639"/>
      <c r="V94" s="639"/>
      <c r="W94" s="639"/>
      <c r="X94" s="639"/>
      <c r="Y94" s="643"/>
      <c r="Z94" s="644"/>
      <c r="AA94" s="644"/>
      <c r="AB94" s="644"/>
      <c r="AC94" s="644"/>
      <c r="AD94" s="644"/>
      <c r="AE94" s="644"/>
      <c r="AF94" s="644"/>
      <c r="AG94" s="644"/>
      <c r="AH94" s="644"/>
      <c r="AI94" s="644"/>
      <c r="AJ94" s="701"/>
      <c r="AK94" s="704">
        <f t="shared" si="51"/>
        <v>0</v>
      </c>
    </row>
    <row r="95" spans="1:37" x14ac:dyDescent="0.3">
      <c r="A95" s="203">
        <v>36</v>
      </c>
      <c r="B95" s="154" t="s">
        <v>687</v>
      </c>
      <c r="C95" s="160" t="s">
        <v>828</v>
      </c>
      <c r="H95" s="676" t="s">
        <v>735</v>
      </c>
      <c r="I95" s="639"/>
      <c r="J95" s="639"/>
      <c r="K95" s="639"/>
      <c r="L95" s="637"/>
      <c r="M95" s="639"/>
      <c r="N95" s="639"/>
      <c r="O95" s="639"/>
      <c r="P95" s="689">
        <f t="shared" si="2"/>
        <v>0</v>
      </c>
      <c r="Q95" s="639"/>
      <c r="R95" s="639"/>
      <c r="S95" s="639"/>
      <c r="T95" s="639"/>
      <c r="U95" s="639"/>
      <c r="V95" s="639"/>
      <c r="W95" s="639"/>
      <c r="X95" s="639"/>
      <c r="Y95" s="643"/>
      <c r="Z95" s="644"/>
      <c r="AA95" s="644"/>
      <c r="AB95" s="644"/>
      <c r="AC95" s="644"/>
      <c r="AD95" s="644"/>
      <c r="AE95" s="644"/>
      <c r="AF95" s="644"/>
      <c r="AG95" s="644"/>
      <c r="AH95" s="644"/>
      <c r="AI95" s="644"/>
      <c r="AJ95" s="701"/>
      <c r="AK95" s="704">
        <f t="shared" si="51"/>
        <v>0</v>
      </c>
    </row>
    <row r="96" spans="1:37" x14ac:dyDescent="0.3">
      <c r="A96" s="203">
        <v>37</v>
      </c>
      <c r="B96" s="154" t="s">
        <v>687</v>
      </c>
      <c r="C96" s="160" t="s">
        <v>918</v>
      </c>
      <c r="D96" s="160" t="s">
        <v>349</v>
      </c>
      <c r="E96" s="160" t="s">
        <v>678</v>
      </c>
      <c r="F96" s="451">
        <v>54</v>
      </c>
      <c r="G96" s="166">
        <v>1</v>
      </c>
      <c r="H96" s="676">
        <f>G96*IF(E96="P",SUMIF(PASIVA!$L:$L,'CF calc'!$F96,PASIVA!M:M)-SUMIF(PASIVA!$L:$L,'CF calc'!$F96,PASIVA!N:N),IF(E96="A",SUMIF(AKTIVA!$M:$M,'CF calc'!$F96,AKTIVA!P:P)-SUMIF(AKTIVA!$M:$M,'CF calc'!$F96,AKTIVA!Q:Q),IF(E96="V",SUMIF(VYSLEDOVKA!L:L,F96,VYSLEDOVKA!M:M),"-")))</f>
        <v>0</v>
      </c>
      <c r="I96" s="639"/>
      <c r="J96" s="639"/>
      <c r="K96" s="639"/>
      <c r="L96" s="637"/>
      <c r="M96" s="639"/>
      <c r="N96" s="639"/>
      <c r="O96" s="639"/>
      <c r="P96" s="689">
        <f t="shared" si="2"/>
        <v>0</v>
      </c>
      <c r="Q96" s="639"/>
      <c r="R96" s="639"/>
      <c r="S96" s="639"/>
      <c r="T96" s="639"/>
      <c r="U96" s="639"/>
      <c r="V96" s="639"/>
      <c r="W96" s="639"/>
      <c r="X96" s="639"/>
      <c r="Y96" s="641"/>
      <c r="Z96" s="642"/>
      <c r="AA96" s="642"/>
      <c r="AB96" s="642"/>
      <c r="AC96" s="642"/>
      <c r="AD96" s="642"/>
      <c r="AE96" s="642"/>
      <c r="AF96" s="642"/>
      <c r="AG96" s="642"/>
      <c r="AH96" s="642"/>
      <c r="AI96" s="642"/>
      <c r="AJ96" s="700"/>
      <c r="AK96" s="704">
        <f t="shared" si="51"/>
        <v>0</v>
      </c>
    </row>
    <row r="97" spans="1:37" x14ac:dyDescent="0.3">
      <c r="P97" s="689"/>
      <c r="AK97" s="704">
        <f t="shared" si="51"/>
        <v>0</v>
      </c>
    </row>
    <row r="98" spans="1:37" s="179" customFormat="1" x14ac:dyDescent="0.3">
      <c r="A98" s="208">
        <v>38</v>
      </c>
      <c r="C98" s="180" t="s">
        <v>652</v>
      </c>
      <c r="D98" s="180"/>
      <c r="E98" s="180" t="s">
        <v>728</v>
      </c>
      <c r="F98" s="457"/>
      <c r="G98" s="181"/>
      <c r="H98" s="684">
        <f t="shared" ref="H98:O98" si="67">SUMIF($B:$B,$E98,H:H)</f>
        <v>0</v>
      </c>
      <c r="I98" s="200">
        <f t="shared" si="67"/>
        <v>0</v>
      </c>
      <c r="J98" s="200">
        <f t="shared" si="67"/>
        <v>0</v>
      </c>
      <c r="K98" s="200">
        <f t="shared" si="67"/>
        <v>0</v>
      </c>
      <c r="L98" s="200">
        <f t="shared" si="67"/>
        <v>0</v>
      </c>
      <c r="M98" s="200">
        <f t="shared" si="67"/>
        <v>0</v>
      </c>
      <c r="N98" s="200">
        <f t="shared" si="67"/>
        <v>0</v>
      </c>
      <c r="O98" s="200">
        <f t="shared" si="67"/>
        <v>0</v>
      </c>
      <c r="P98" s="697">
        <f t="shared" si="2"/>
        <v>0</v>
      </c>
      <c r="Q98" s="200">
        <f t="shared" ref="Q98:AJ98" si="68">SUMIF($B:$B,$E98,Q:Q)</f>
        <v>0</v>
      </c>
      <c r="R98" s="200">
        <f t="shared" si="68"/>
        <v>0</v>
      </c>
      <c r="S98" s="200">
        <f t="shared" si="68"/>
        <v>0</v>
      </c>
      <c r="T98" s="200">
        <f t="shared" si="68"/>
        <v>0</v>
      </c>
      <c r="U98" s="200">
        <f t="shared" si="68"/>
        <v>0</v>
      </c>
      <c r="V98" s="200">
        <f t="shared" si="68"/>
        <v>0</v>
      </c>
      <c r="W98" s="200">
        <f t="shared" si="68"/>
        <v>0</v>
      </c>
      <c r="X98" s="200">
        <f t="shared" si="68"/>
        <v>0</v>
      </c>
      <c r="Y98" s="200">
        <f t="shared" si="68"/>
        <v>0</v>
      </c>
      <c r="Z98" s="200">
        <f t="shared" si="68"/>
        <v>0</v>
      </c>
      <c r="AA98" s="200">
        <f t="shared" si="68"/>
        <v>0</v>
      </c>
      <c r="AB98" s="200">
        <f t="shared" si="68"/>
        <v>0</v>
      </c>
      <c r="AC98" s="200">
        <f t="shared" si="68"/>
        <v>0</v>
      </c>
      <c r="AD98" s="200">
        <f t="shared" si="68"/>
        <v>0</v>
      </c>
      <c r="AE98" s="200">
        <f t="shared" si="68"/>
        <v>0</v>
      </c>
      <c r="AF98" s="200">
        <f t="shared" si="68"/>
        <v>0</v>
      </c>
      <c r="AG98" s="200">
        <f t="shared" si="68"/>
        <v>0</v>
      </c>
      <c r="AH98" s="200">
        <f t="shared" si="68"/>
        <v>0</v>
      </c>
      <c r="AI98" s="200">
        <f t="shared" si="68"/>
        <v>0</v>
      </c>
      <c r="AJ98" s="200">
        <f t="shared" si="68"/>
        <v>0</v>
      </c>
      <c r="AK98" s="712">
        <f t="shared" si="51"/>
        <v>0</v>
      </c>
    </row>
    <row r="99" spans="1:37" x14ac:dyDescent="0.3">
      <c r="P99" s="689"/>
      <c r="AK99" s="704"/>
    </row>
    <row r="100" spans="1:37" s="182" customFormat="1" x14ac:dyDescent="0.3">
      <c r="A100" s="206">
        <v>39</v>
      </c>
      <c r="C100" s="183" t="s">
        <v>653</v>
      </c>
      <c r="D100" s="183"/>
      <c r="E100" s="183"/>
      <c r="F100" s="454"/>
      <c r="G100" s="184"/>
      <c r="H100" s="679">
        <f>H69+H82+H98</f>
        <v>0</v>
      </c>
      <c r="I100" s="198">
        <f t="shared" ref="I100:O100" si="69">I9+I69+I82+I98</f>
        <v>0</v>
      </c>
      <c r="J100" s="198">
        <f t="shared" si="69"/>
        <v>0</v>
      </c>
      <c r="K100" s="198">
        <f t="shared" si="69"/>
        <v>0</v>
      </c>
      <c r="L100" s="198">
        <f t="shared" si="69"/>
        <v>0</v>
      </c>
      <c r="M100" s="198">
        <f t="shared" si="69"/>
        <v>0</v>
      </c>
      <c r="N100" s="198">
        <f t="shared" si="69"/>
        <v>0</v>
      </c>
      <c r="O100" s="198">
        <f t="shared" si="69"/>
        <v>0</v>
      </c>
      <c r="P100" s="692">
        <f t="shared" si="2"/>
        <v>0</v>
      </c>
      <c r="Q100" s="198">
        <f t="shared" ref="Q100:AJ100" si="70">Q9+Q69+Q82+Q98</f>
        <v>0</v>
      </c>
      <c r="R100" s="198">
        <f t="shared" si="70"/>
        <v>0</v>
      </c>
      <c r="S100" s="198">
        <f t="shared" si="70"/>
        <v>0</v>
      </c>
      <c r="T100" s="198">
        <f t="shared" si="70"/>
        <v>0</v>
      </c>
      <c r="U100" s="198">
        <f t="shared" si="70"/>
        <v>0</v>
      </c>
      <c r="V100" s="198">
        <f t="shared" si="70"/>
        <v>0</v>
      </c>
      <c r="W100" s="198">
        <f t="shared" si="70"/>
        <v>0</v>
      </c>
      <c r="X100" s="198">
        <f t="shared" si="70"/>
        <v>0</v>
      </c>
      <c r="Y100" s="198">
        <f t="shared" si="70"/>
        <v>0</v>
      </c>
      <c r="Z100" s="198">
        <f t="shared" si="70"/>
        <v>0</v>
      </c>
      <c r="AA100" s="198">
        <f t="shared" si="70"/>
        <v>0</v>
      </c>
      <c r="AB100" s="198">
        <f t="shared" si="70"/>
        <v>0</v>
      </c>
      <c r="AC100" s="198">
        <f t="shared" si="70"/>
        <v>0</v>
      </c>
      <c r="AD100" s="198">
        <f t="shared" si="70"/>
        <v>0</v>
      </c>
      <c r="AE100" s="198">
        <f t="shared" si="70"/>
        <v>0</v>
      </c>
      <c r="AF100" s="198">
        <f t="shared" si="70"/>
        <v>0</v>
      </c>
      <c r="AG100" s="198">
        <f t="shared" si="70"/>
        <v>0</v>
      </c>
      <c r="AH100" s="198">
        <f t="shared" si="70"/>
        <v>0</v>
      </c>
      <c r="AI100" s="198">
        <f t="shared" si="70"/>
        <v>0</v>
      </c>
      <c r="AJ100" s="198">
        <f t="shared" si="70"/>
        <v>0</v>
      </c>
      <c r="AK100" s="707">
        <f t="shared" si="12"/>
        <v>0</v>
      </c>
    </row>
    <row r="101" spans="1:37" x14ac:dyDescent="0.3">
      <c r="P101" s="689"/>
      <c r="AK101" s="704"/>
    </row>
    <row r="102" spans="1:37" s="182" customFormat="1" x14ac:dyDescent="0.3">
      <c r="A102" s="206">
        <v>40</v>
      </c>
      <c r="C102" s="183" t="s">
        <v>654</v>
      </c>
      <c r="D102" s="183"/>
      <c r="E102" s="183" t="s">
        <v>688</v>
      </c>
      <c r="F102" s="454"/>
      <c r="G102" s="184"/>
      <c r="H102" s="679">
        <f>SUMIF($B:$B,$E102,H:H)</f>
        <v>0</v>
      </c>
      <c r="I102" s="198"/>
      <c r="J102" s="198"/>
      <c r="K102" s="198"/>
      <c r="L102" s="198"/>
      <c r="M102" s="198"/>
      <c r="N102" s="198"/>
      <c r="O102" s="198"/>
      <c r="P102" s="692">
        <f t="shared" si="2"/>
        <v>0</v>
      </c>
      <c r="Q102" s="198"/>
      <c r="R102" s="198"/>
      <c r="S102" s="198"/>
      <c r="T102" s="198"/>
      <c r="U102" s="198"/>
      <c r="V102" s="198"/>
      <c r="W102" s="198"/>
      <c r="X102" s="198"/>
      <c r="Y102" s="198"/>
      <c r="Z102" s="198"/>
      <c r="AA102" s="198"/>
      <c r="AB102" s="198"/>
      <c r="AC102" s="198"/>
      <c r="AD102" s="198"/>
      <c r="AE102" s="198"/>
      <c r="AF102" s="198"/>
      <c r="AG102" s="198"/>
      <c r="AH102" s="198"/>
      <c r="AI102" s="198"/>
      <c r="AJ102" s="198"/>
      <c r="AK102" s="707">
        <f t="shared" si="12"/>
        <v>0</v>
      </c>
    </row>
    <row r="103" spans="1:37" x14ac:dyDescent="0.3">
      <c r="B103" s="154" t="s">
        <v>688</v>
      </c>
      <c r="D103" s="160" t="s">
        <v>349</v>
      </c>
      <c r="E103" s="160" t="s">
        <v>279</v>
      </c>
      <c r="F103" s="451">
        <v>72</v>
      </c>
      <c r="G103" s="166">
        <v>1</v>
      </c>
      <c r="H103" s="676">
        <f>G103*IF(E103="P",SUMIF(PASIVA!$L:$L,'CF calc'!$F103,PASIVA!M:M),IF(E103="A",SUMIF(AKTIVA!$M:$M,'CF calc'!$F103,AKTIVA!P:P),IF(E103="V",SUMIF(VYSLEDOVKA!L:L,F103,VYSLEDOVKA!M:M),"-")))</f>
        <v>0</v>
      </c>
      <c r="P103" s="689">
        <f t="shared" si="2"/>
        <v>0</v>
      </c>
      <c r="AK103" s="704">
        <f t="shared" si="12"/>
        <v>0</v>
      </c>
    </row>
    <row r="104" spans="1:37" x14ac:dyDescent="0.3">
      <c r="B104" s="154" t="s">
        <v>688</v>
      </c>
      <c r="D104" s="160" t="s">
        <v>349</v>
      </c>
      <c r="E104" s="160" t="s">
        <v>279</v>
      </c>
      <c r="F104" s="451">
        <v>73</v>
      </c>
      <c r="G104" s="166">
        <v>1</v>
      </c>
      <c r="H104" s="676">
        <f>G104*IF(E104="P",SUMIF(PASIVA!$L:$L,'CF calc'!$F104,PASIVA!M:M),IF(E104="A",SUMIF(AKTIVA!$M:$M,'CF calc'!$F104,AKTIVA!P:P),IF(E104="V",SUMIF(VYSLEDOVKA!L:L,F104,VYSLEDOVKA!M:M),"-")))</f>
        <v>0</v>
      </c>
      <c r="P104" s="689">
        <f t="shared" si="2"/>
        <v>0</v>
      </c>
      <c r="AK104" s="704">
        <f t="shared" si="12"/>
        <v>0</v>
      </c>
    </row>
    <row r="105" spans="1:37" x14ac:dyDescent="0.3">
      <c r="P105" s="689"/>
      <c r="AK105" s="704"/>
    </row>
    <row r="106" spans="1:37" x14ac:dyDescent="0.3">
      <c r="C106" s="160" t="s">
        <v>655</v>
      </c>
      <c r="H106" s="676">
        <f t="shared" ref="H106:O106" si="71">H102-H4-H100</f>
        <v>0</v>
      </c>
      <c r="I106" s="195">
        <f t="shared" si="71"/>
        <v>0</v>
      </c>
      <c r="J106" s="195">
        <f t="shared" si="71"/>
        <v>0</v>
      </c>
      <c r="K106" s="195">
        <f t="shared" si="71"/>
        <v>0</v>
      </c>
      <c r="L106" s="195">
        <f t="shared" si="71"/>
        <v>0</v>
      </c>
      <c r="M106" s="195">
        <f t="shared" si="71"/>
        <v>0</v>
      </c>
      <c r="N106" s="195">
        <f t="shared" si="71"/>
        <v>0</v>
      </c>
      <c r="O106" s="195">
        <f t="shared" si="71"/>
        <v>0</v>
      </c>
      <c r="P106" s="689">
        <f t="shared" si="2"/>
        <v>0</v>
      </c>
      <c r="Q106" s="195">
        <f t="shared" ref="Q106:AK106" si="72">Q102-Q4-Q100</f>
        <v>0</v>
      </c>
      <c r="R106" s="195">
        <f t="shared" si="72"/>
        <v>0</v>
      </c>
      <c r="S106" s="195">
        <f t="shared" si="72"/>
        <v>0</v>
      </c>
      <c r="T106" s="195">
        <f t="shared" si="72"/>
        <v>0</v>
      </c>
      <c r="U106" s="195">
        <f t="shared" si="72"/>
        <v>0</v>
      </c>
      <c r="V106" s="195">
        <f t="shared" si="72"/>
        <v>0</v>
      </c>
      <c r="W106" s="195">
        <f t="shared" si="72"/>
        <v>0</v>
      </c>
      <c r="X106" s="195">
        <f t="shared" si="72"/>
        <v>0</v>
      </c>
      <c r="Y106" s="195">
        <f t="shared" si="72"/>
        <v>0</v>
      </c>
      <c r="Z106" s="195">
        <f t="shared" si="72"/>
        <v>0</v>
      </c>
      <c r="AA106" s="195">
        <f t="shared" si="72"/>
        <v>0</v>
      </c>
      <c r="AB106" s="195">
        <f t="shared" si="72"/>
        <v>0</v>
      </c>
      <c r="AC106" s="195">
        <f t="shared" si="72"/>
        <v>0</v>
      </c>
      <c r="AD106" s="195">
        <f t="shared" si="72"/>
        <v>0</v>
      </c>
      <c r="AE106" s="195">
        <f t="shared" si="72"/>
        <v>0</v>
      </c>
      <c r="AF106" s="195">
        <f t="shared" si="72"/>
        <v>0</v>
      </c>
      <c r="AG106" s="195">
        <f t="shared" si="72"/>
        <v>0</v>
      </c>
      <c r="AH106" s="195">
        <f t="shared" si="72"/>
        <v>0</v>
      </c>
      <c r="AI106" s="195">
        <f t="shared" si="72"/>
        <v>0</v>
      </c>
      <c r="AJ106" s="195">
        <f t="shared" si="72"/>
        <v>0</v>
      </c>
      <c r="AK106" s="713">
        <f t="shared" si="72"/>
        <v>0</v>
      </c>
    </row>
    <row r="107" spans="1:37" x14ac:dyDescent="0.3">
      <c r="P107" s="689"/>
    </row>
    <row r="108" spans="1:37" x14ac:dyDescent="0.3">
      <c r="C108" s="160" t="s">
        <v>656</v>
      </c>
    </row>
    <row r="110" spans="1:37" x14ac:dyDescent="0.3">
      <c r="C110" s="153" t="s">
        <v>657</v>
      </c>
      <c r="D110" s="154"/>
      <c r="E110" s="154"/>
      <c r="F110" s="155"/>
      <c r="G110" s="167"/>
      <c r="H110" s="685"/>
      <c r="I110" s="161"/>
      <c r="J110" s="161"/>
    </row>
    <row r="111" spans="1:37" x14ac:dyDescent="0.3">
      <c r="C111" s="154" t="s">
        <v>658</v>
      </c>
      <c r="D111" s="154"/>
      <c r="E111" s="154"/>
      <c r="F111" s="155"/>
      <c r="G111" s="167"/>
      <c r="H111" s="686"/>
      <c r="I111" s="162">
        <f>AKTIVA!P10-AKTIVA!P34</f>
        <v>0</v>
      </c>
      <c r="J111" s="195" t="s">
        <v>659</v>
      </c>
    </row>
    <row r="112" spans="1:37" x14ac:dyDescent="0.3">
      <c r="C112" s="154" t="s">
        <v>660</v>
      </c>
      <c r="D112" s="154"/>
      <c r="E112" s="154"/>
      <c r="F112" s="155"/>
      <c r="G112" s="167"/>
      <c r="H112" s="686"/>
      <c r="I112" s="163">
        <f>AKTIVA!Q10-AKTIVA!Q34</f>
        <v>0</v>
      </c>
      <c r="J112" s="195" t="s">
        <v>659</v>
      </c>
    </row>
    <row r="113" spans="3:10" ht="10.8" thickBot="1" x14ac:dyDescent="0.35">
      <c r="C113" s="154" t="s">
        <v>661</v>
      </c>
      <c r="D113" s="154"/>
      <c r="E113" s="154"/>
      <c r="F113" s="155"/>
      <c r="G113" s="167"/>
      <c r="H113" s="686"/>
      <c r="I113" s="164">
        <f>I111-I112</f>
        <v>0</v>
      </c>
    </row>
    <row r="114" spans="3:10" ht="10.8" thickTop="1" x14ac:dyDescent="0.3">
      <c r="C114" s="154"/>
      <c r="D114" s="154"/>
      <c r="E114" s="154"/>
      <c r="F114" s="155"/>
      <c r="G114" s="167"/>
      <c r="H114" s="686"/>
      <c r="I114" s="162"/>
      <c r="J114" s="162"/>
    </row>
    <row r="115" spans="3:10" ht="20.399999999999999" x14ac:dyDescent="0.3">
      <c r="C115" s="160" t="s">
        <v>662</v>
      </c>
      <c r="D115" s="154"/>
      <c r="E115" s="154"/>
      <c r="F115" s="155"/>
      <c r="G115" s="167"/>
      <c r="H115" s="686"/>
      <c r="I115" s="162">
        <f>P73</f>
        <v>0</v>
      </c>
      <c r="J115" s="162" t="s">
        <v>663</v>
      </c>
    </row>
    <row r="116" spans="3:10" ht="20.399999999999999" x14ac:dyDescent="0.3">
      <c r="C116" s="160" t="s">
        <v>664</v>
      </c>
      <c r="D116" s="154"/>
      <c r="E116" s="154"/>
      <c r="F116" s="155"/>
      <c r="G116" s="167"/>
      <c r="H116" s="686"/>
      <c r="I116" s="162">
        <f>P74</f>
        <v>0</v>
      </c>
      <c r="J116" s="162" t="s">
        <v>663</v>
      </c>
    </row>
    <row r="117" spans="3:10" ht="20.399999999999999" x14ac:dyDescent="0.3">
      <c r="C117" s="160" t="s">
        <v>665</v>
      </c>
      <c r="D117" s="154"/>
      <c r="E117" s="154"/>
      <c r="F117" s="155"/>
      <c r="G117" s="167"/>
      <c r="H117" s="686"/>
      <c r="I117" s="162">
        <f>P75</f>
        <v>0</v>
      </c>
      <c r="J117" s="162" t="s">
        <v>663</v>
      </c>
    </row>
    <row r="118" spans="3:10" x14ac:dyDescent="0.3">
      <c r="C118" s="154" t="s">
        <v>666</v>
      </c>
      <c r="D118" s="154"/>
      <c r="E118" s="154"/>
      <c r="F118" s="155"/>
      <c r="G118" s="167"/>
      <c r="H118" s="686"/>
      <c r="I118" s="162"/>
      <c r="J118" s="195" t="s">
        <v>663</v>
      </c>
    </row>
    <row r="119" spans="3:10" ht="20.399999999999999" x14ac:dyDescent="0.3">
      <c r="C119" s="154" t="s">
        <v>667</v>
      </c>
      <c r="D119" s="154"/>
      <c r="E119" s="154"/>
      <c r="F119" s="155"/>
      <c r="G119" s="167"/>
      <c r="H119" s="686"/>
      <c r="I119" s="162">
        <f>P14</f>
        <v>0</v>
      </c>
      <c r="J119" s="162" t="s">
        <v>663</v>
      </c>
    </row>
    <row r="120" spans="3:10" x14ac:dyDescent="0.3">
      <c r="C120" s="154" t="s">
        <v>668</v>
      </c>
      <c r="D120" s="154"/>
      <c r="E120" s="154"/>
      <c r="F120" s="155"/>
      <c r="G120" s="167"/>
      <c r="H120" s="686"/>
      <c r="I120" s="162"/>
      <c r="J120" s="195" t="s">
        <v>663</v>
      </c>
    </row>
    <row r="121" spans="3:10" ht="20.399999999999999" x14ac:dyDescent="0.3">
      <c r="C121" s="154" t="s">
        <v>669</v>
      </c>
      <c r="D121" s="154"/>
      <c r="E121" s="154"/>
      <c r="F121" s="155"/>
      <c r="G121" s="167"/>
      <c r="H121" s="686"/>
      <c r="I121" s="162">
        <f>P77</f>
        <v>0</v>
      </c>
      <c r="J121" s="162" t="s">
        <v>663</v>
      </c>
    </row>
    <row r="122" spans="3:10" ht="20.399999999999999" x14ac:dyDescent="0.3">
      <c r="C122" s="154" t="s">
        <v>670</v>
      </c>
      <c r="D122" s="154"/>
      <c r="E122" s="154"/>
      <c r="F122" s="155"/>
      <c r="G122" s="167"/>
      <c r="H122" s="686"/>
      <c r="I122" s="162">
        <f>P78</f>
        <v>0</v>
      </c>
      <c r="J122" s="162" t="s">
        <v>663</v>
      </c>
    </row>
    <row r="123" spans="3:10" x14ac:dyDescent="0.3">
      <c r="C123" s="154" t="s">
        <v>671</v>
      </c>
      <c r="D123" s="154"/>
      <c r="E123" s="154"/>
      <c r="F123" s="155"/>
      <c r="G123" s="167"/>
      <c r="H123" s="686"/>
      <c r="I123" s="162">
        <f>P20</f>
        <v>0</v>
      </c>
      <c r="J123" s="195" t="s">
        <v>663</v>
      </c>
    </row>
    <row r="124" spans="3:10" x14ac:dyDescent="0.3">
      <c r="C124" s="154" t="s">
        <v>672</v>
      </c>
      <c r="D124" s="154"/>
      <c r="E124" s="154"/>
      <c r="F124" s="155"/>
      <c r="G124" s="167"/>
      <c r="H124" s="686"/>
      <c r="I124" s="162"/>
    </row>
    <row r="125" spans="3:10" x14ac:dyDescent="0.3">
      <c r="C125" s="154" t="s">
        <v>673</v>
      </c>
      <c r="D125" s="154"/>
      <c r="E125" s="154"/>
      <c r="F125" s="155"/>
      <c r="G125" s="167"/>
      <c r="H125" s="686"/>
      <c r="I125" s="163">
        <f>SUM(I115:I123)</f>
        <v>0</v>
      </c>
      <c r="J125" s="162"/>
    </row>
    <row r="126" spans="3:10" x14ac:dyDescent="0.3">
      <c r="C126" s="154"/>
      <c r="D126" s="154"/>
      <c r="E126" s="154"/>
      <c r="F126" s="155"/>
      <c r="G126" s="167"/>
      <c r="H126" s="686"/>
      <c r="I126" s="162"/>
      <c r="J126" s="162"/>
    </row>
    <row r="127" spans="3:10" ht="10.8" thickBot="1" x14ac:dyDescent="0.35">
      <c r="C127" s="154" t="s">
        <v>674</v>
      </c>
      <c r="D127" s="154"/>
      <c r="E127" s="154"/>
      <c r="F127" s="155"/>
      <c r="G127" s="167"/>
      <c r="H127" s="686"/>
      <c r="I127" s="165">
        <f>I113+I125</f>
        <v>0</v>
      </c>
      <c r="J127" s="162" t="str">
        <f>IF(I127&lt;&gt;0,"Fixed assets are not reconciled","  ")</f>
        <v xml:space="preserve">  </v>
      </c>
    </row>
    <row r="128" spans="3:10" ht="10.8" thickTop="1" x14ac:dyDescent="0.3"/>
  </sheetData>
  <pageMargins left="0.7" right="0.7" top="0.78740157499999996" bottom="0.78740157499999996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List7">
    <pageSetUpPr fitToPage="1"/>
  </sheetPr>
  <dimension ref="B5:F397"/>
  <sheetViews>
    <sheetView showGridLines="0" workbookViewId="0">
      <pane ySplit="6" topLeftCell="A7" activePane="bottomLeft" state="frozen"/>
      <selection activeCell="B4" sqref="B4"/>
      <selection pane="bottomLeft" activeCell="B4" sqref="B4"/>
    </sheetView>
  </sheetViews>
  <sheetFormatPr defaultColWidth="9.109375" defaultRowHeight="13.8" x14ac:dyDescent="0.3"/>
  <cols>
    <col min="1" max="1" width="1.109375" style="10" customWidth="1"/>
    <col min="2" max="2" width="18" style="10" bestFit="1" customWidth="1"/>
    <col min="3" max="3" width="8.44140625" style="10" bestFit="1" customWidth="1"/>
    <col min="4" max="4" width="10.109375" style="10" bestFit="1" customWidth="1"/>
    <col min="5" max="5" width="8.88671875" style="10" customWidth="1"/>
    <col min="6" max="6" width="9.88671875" style="10" customWidth="1"/>
    <col min="7" max="16384" width="9.109375" style="10"/>
  </cols>
  <sheetData>
    <row r="5" spans="2:6" x14ac:dyDescent="0.3">
      <c r="B5" s="664" t="s">
        <v>583</v>
      </c>
      <c r="C5" s="665"/>
      <c r="D5"/>
      <c r="E5"/>
      <c r="F5"/>
    </row>
    <row r="6" spans="2:6" x14ac:dyDescent="0.3">
      <c r="B6" s="665"/>
      <c r="C6" s="666" t="s">
        <v>611</v>
      </c>
      <c r="D6"/>
      <c r="E6"/>
      <c r="F6"/>
    </row>
    <row r="7" spans="2:6" x14ac:dyDescent="0.3">
      <c r="B7" s="667" t="s">
        <v>262</v>
      </c>
      <c r="C7" s="668">
        <v>0</v>
      </c>
      <c r="D7"/>
      <c r="E7"/>
      <c r="F7"/>
    </row>
    <row r="8" spans="2:6" x14ac:dyDescent="0.3">
      <c r="B8" s="669" t="s">
        <v>262</v>
      </c>
      <c r="C8" s="668">
        <v>0</v>
      </c>
      <c r="D8"/>
      <c r="E8"/>
      <c r="F8"/>
    </row>
    <row r="9" spans="2:6" x14ac:dyDescent="0.3">
      <c r="B9" s="670" t="s">
        <v>1282</v>
      </c>
      <c r="C9" s="668">
        <v>0</v>
      </c>
      <c r="D9"/>
      <c r="E9"/>
      <c r="F9"/>
    </row>
    <row r="10" spans="2:6" x14ac:dyDescent="0.3">
      <c r="B10" s="667"/>
      <c r="C10" s="668"/>
      <c r="D10"/>
      <c r="E10"/>
      <c r="F10"/>
    </row>
    <row r="11" spans="2:6" x14ac:dyDescent="0.3">
      <c r="B11" s="667" t="s">
        <v>622</v>
      </c>
      <c r="C11" s="668">
        <v>0</v>
      </c>
      <c r="D11"/>
      <c r="E11"/>
      <c r="F11"/>
    </row>
    <row r="12" spans="2:6" x14ac:dyDescent="0.3">
      <c r="B12"/>
      <c r="C12"/>
      <c r="D12"/>
      <c r="E12"/>
      <c r="F12"/>
    </row>
    <row r="13" spans="2:6" x14ac:dyDescent="0.3">
      <c r="B13"/>
      <c r="C13"/>
      <c r="D13"/>
      <c r="E13"/>
      <c r="F13"/>
    </row>
    <row r="14" spans="2:6" x14ac:dyDescent="0.3">
      <c r="B14"/>
      <c r="C14"/>
      <c r="D14"/>
      <c r="E14"/>
      <c r="F14"/>
    </row>
    <row r="15" spans="2:6" x14ac:dyDescent="0.3">
      <c r="B15"/>
      <c r="C15"/>
      <c r="D15"/>
      <c r="E15"/>
      <c r="F15"/>
    </row>
    <row r="16" spans="2:6" x14ac:dyDescent="0.3">
      <c r="B16"/>
      <c r="C16"/>
      <c r="D16"/>
      <c r="E16"/>
      <c r="F16"/>
    </row>
    <row r="17" spans="2:6" x14ac:dyDescent="0.3">
      <c r="B17"/>
      <c r="C17"/>
      <c r="D17"/>
      <c r="E17"/>
      <c r="F17"/>
    </row>
    <row r="18" spans="2:6" x14ac:dyDescent="0.3">
      <c r="B18"/>
      <c r="C18"/>
      <c r="D18"/>
      <c r="E18"/>
      <c r="F18"/>
    </row>
    <row r="19" spans="2:6" x14ac:dyDescent="0.3">
      <c r="B19"/>
      <c r="C19"/>
      <c r="D19"/>
      <c r="E19"/>
      <c r="F19"/>
    </row>
    <row r="20" spans="2:6" x14ac:dyDescent="0.3">
      <c r="B20"/>
      <c r="C20"/>
      <c r="D20"/>
      <c r="E20"/>
      <c r="F20"/>
    </row>
    <row r="21" spans="2:6" x14ac:dyDescent="0.3">
      <c r="B21"/>
      <c r="C21"/>
      <c r="D21"/>
      <c r="E21"/>
      <c r="F21"/>
    </row>
    <row r="22" spans="2:6" x14ac:dyDescent="0.3">
      <c r="B22"/>
      <c r="C22"/>
      <c r="D22"/>
      <c r="E22"/>
      <c r="F22"/>
    </row>
    <row r="23" spans="2:6" x14ac:dyDescent="0.3">
      <c r="B23"/>
      <c r="C23"/>
      <c r="D23"/>
      <c r="E23"/>
      <c r="F23"/>
    </row>
    <row r="24" spans="2:6" x14ac:dyDescent="0.3">
      <c r="B24"/>
      <c r="C24"/>
      <c r="D24"/>
      <c r="E24"/>
      <c r="F24"/>
    </row>
    <row r="25" spans="2:6" x14ac:dyDescent="0.3">
      <c r="B25"/>
      <c r="C25"/>
      <c r="D25"/>
      <c r="E25"/>
      <c r="F25"/>
    </row>
    <row r="26" spans="2:6" x14ac:dyDescent="0.3">
      <c r="B26"/>
      <c r="C26"/>
      <c r="D26"/>
      <c r="E26"/>
      <c r="F26"/>
    </row>
    <row r="27" spans="2:6" x14ac:dyDescent="0.3">
      <c r="B27"/>
      <c r="C27"/>
      <c r="D27"/>
      <c r="E27"/>
      <c r="F27"/>
    </row>
    <row r="28" spans="2:6" x14ac:dyDescent="0.3">
      <c r="B28"/>
      <c r="C28"/>
      <c r="D28"/>
      <c r="E28"/>
      <c r="F28"/>
    </row>
    <row r="29" spans="2:6" x14ac:dyDescent="0.3">
      <c r="B29"/>
      <c r="C29"/>
      <c r="D29"/>
      <c r="E29"/>
      <c r="F29"/>
    </row>
    <row r="30" spans="2:6" x14ac:dyDescent="0.3">
      <c r="B30"/>
      <c r="C30"/>
      <c r="D30"/>
      <c r="E30"/>
      <c r="F30"/>
    </row>
    <row r="31" spans="2:6" x14ac:dyDescent="0.3">
      <c r="B31"/>
      <c r="C31"/>
      <c r="D31"/>
      <c r="E31"/>
      <c r="F31"/>
    </row>
    <row r="32" spans="2:6" x14ac:dyDescent="0.3">
      <c r="B32"/>
      <c r="C32"/>
      <c r="D32"/>
      <c r="E32"/>
      <c r="F32"/>
    </row>
    <row r="33" spans="2:6" x14ac:dyDescent="0.3">
      <c r="B33"/>
      <c r="C33"/>
      <c r="D33"/>
      <c r="E33"/>
      <c r="F33"/>
    </row>
    <row r="34" spans="2:6" x14ac:dyDescent="0.3">
      <c r="B34"/>
      <c r="C34"/>
      <c r="D34"/>
      <c r="E34"/>
      <c r="F34"/>
    </row>
    <row r="35" spans="2:6" x14ac:dyDescent="0.3">
      <c r="B35"/>
      <c r="C35"/>
      <c r="D35"/>
      <c r="E35"/>
      <c r="F35"/>
    </row>
    <row r="36" spans="2:6" x14ac:dyDescent="0.3">
      <c r="B36"/>
      <c r="C36"/>
      <c r="D36"/>
      <c r="E36"/>
      <c r="F36"/>
    </row>
    <row r="37" spans="2:6" x14ac:dyDescent="0.3">
      <c r="B37"/>
      <c r="C37"/>
      <c r="D37"/>
      <c r="E37"/>
      <c r="F37"/>
    </row>
    <row r="38" spans="2:6" x14ac:dyDescent="0.3">
      <c r="B38"/>
      <c r="C38"/>
      <c r="D38"/>
      <c r="E38"/>
      <c r="F38"/>
    </row>
    <row r="39" spans="2:6" x14ac:dyDescent="0.3">
      <c r="B39"/>
      <c r="C39"/>
      <c r="D39"/>
      <c r="E39"/>
      <c r="F39"/>
    </row>
    <row r="40" spans="2:6" x14ac:dyDescent="0.3">
      <c r="B40"/>
      <c r="C40"/>
      <c r="D40"/>
      <c r="E40"/>
      <c r="F40"/>
    </row>
    <row r="41" spans="2:6" x14ac:dyDescent="0.3">
      <c r="B41"/>
      <c r="C41"/>
      <c r="D41"/>
      <c r="E41"/>
      <c r="F41"/>
    </row>
    <row r="42" spans="2:6" x14ac:dyDescent="0.3">
      <c r="B42"/>
      <c r="C42"/>
      <c r="D42"/>
      <c r="E42"/>
      <c r="F42"/>
    </row>
    <row r="43" spans="2:6" x14ac:dyDescent="0.3">
      <c r="B43"/>
      <c r="C43"/>
      <c r="D43"/>
      <c r="E43"/>
      <c r="F43"/>
    </row>
    <row r="44" spans="2:6" x14ac:dyDescent="0.3">
      <c r="B44"/>
      <c r="C44"/>
      <c r="D44"/>
      <c r="E44"/>
      <c r="F44"/>
    </row>
    <row r="45" spans="2:6" x14ac:dyDescent="0.3">
      <c r="B45"/>
      <c r="C45"/>
      <c r="D45"/>
      <c r="E45"/>
      <c r="F45"/>
    </row>
    <row r="46" spans="2:6" x14ac:dyDescent="0.3">
      <c r="B46"/>
      <c r="C46"/>
      <c r="D46"/>
      <c r="E46"/>
      <c r="F46"/>
    </row>
    <row r="47" spans="2:6" x14ac:dyDescent="0.3">
      <c r="B47"/>
      <c r="C47"/>
      <c r="D47"/>
      <c r="E47"/>
      <c r="F47"/>
    </row>
    <row r="48" spans="2:6" x14ac:dyDescent="0.3">
      <c r="B48"/>
      <c r="C48"/>
      <c r="D48"/>
      <c r="E48"/>
      <c r="F48"/>
    </row>
    <row r="49" spans="2:6" x14ac:dyDescent="0.3">
      <c r="B49"/>
      <c r="C49"/>
      <c r="D49"/>
      <c r="E49"/>
      <c r="F49"/>
    </row>
    <row r="50" spans="2:6" x14ac:dyDescent="0.3">
      <c r="B50"/>
      <c r="C50"/>
      <c r="D50"/>
      <c r="E50"/>
      <c r="F50"/>
    </row>
    <row r="51" spans="2:6" x14ac:dyDescent="0.3">
      <c r="B51"/>
      <c r="C51"/>
      <c r="D51"/>
      <c r="E51"/>
      <c r="F51"/>
    </row>
    <row r="52" spans="2:6" x14ac:dyDescent="0.3">
      <c r="B52"/>
      <c r="C52"/>
      <c r="D52"/>
      <c r="E52"/>
      <c r="F52"/>
    </row>
    <row r="53" spans="2:6" x14ac:dyDescent="0.3">
      <c r="B53"/>
      <c r="C53"/>
      <c r="D53"/>
      <c r="E53"/>
      <c r="F53"/>
    </row>
    <row r="54" spans="2:6" x14ac:dyDescent="0.3">
      <c r="B54"/>
      <c r="C54"/>
      <c r="D54"/>
      <c r="E54"/>
      <c r="F54"/>
    </row>
    <row r="55" spans="2:6" x14ac:dyDescent="0.3">
      <c r="B55"/>
      <c r="C55"/>
      <c r="D55"/>
      <c r="E55"/>
      <c r="F55"/>
    </row>
    <row r="56" spans="2:6" x14ac:dyDescent="0.3">
      <c r="B56"/>
      <c r="C56"/>
      <c r="D56"/>
      <c r="E56"/>
      <c r="F56"/>
    </row>
    <row r="57" spans="2:6" x14ac:dyDescent="0.3">
      <c r="B57"/>
      <c r="C57"/>
      <c r="D57"/>
      <c r="E57"/>
      <c r="F57"/>
    </row>
    <row r="58" spans="2:6" x14ac:dyDescent="0.3">
      <c r="B58"/>
      <c r="C58"/>
      <c r="D58"/>
      <c r="E58"/>
      <c r="F58"/>
    </row>
    <row r="59" spans="2:6" x14ac:dyDescent="0.3">
      <c r="B59"/>
      <c r="C59"/>
      <c r="D59"/>
      <c r="E59"/>
      <c r="F59"/>
    </row>
    <row r="60" spans="2:6" x14ac:dyDescent="0.3">
      <c r="B60"/>
      <c r="C60"/>
      <c r="D60"/>
      <c r="E60"/>
      <c r="F60"/>
    </row>
    <row r="61" spans="2:6" x14ac:dyDescent="0.3">
      <c r="B61"/>
      <c r="C61"/>
      <c r="D61"/>
      <c r="E61"/>
      <c r="F61"/>
    </row>
    <row r="62" spans="2:6" x14ac:dyDescent="0.3">
      <c r="B62"/>
      <c r="C62"/>
      <c r="D62"/>
      <c r="E62"/>
      <c r="F62"/>
    </row>
    <row r="63" spans="2:6" x14ac:dyDescent="0.3">
      <c r="B63"/>
      <c r="C63"/>
      <c r="D63"/>
      <c r="E63"/>
      <c r="F63"/>
    </row>
    <row r="64" spans="2:6" x14ac:dyDescent="0.3">
      <c r="B64"/>
      <c r="C64"/>
      <c r="D64"/>
      <c r="E64"/>
      <c r="F64"/>
    </row>
    <row r="65" spans="2:6" x14ac:dyDescent="0.3">
      <c r="B65"/>
      <c r="C65"/>
      <c r="D65"/>
      <c r="E65"/>
      <c r="F65"/>
    </row>
    <row r="66" spans="2:6" x14ac:dyDescent="0.3">
      <c r="B66"/>
      <c r="C66"/>
      <c r="D66"/>
      <c r="E66"/>
      <c r="F66"/>
    </row>
    <row r="67" spans="2:6" x14ac:dyDescent="0.3">
      <c r="B67"/>
      <c r="C67"/>
      <c r="D67"/>
      <c r="E67"/>
      <c r="F67"/>
    </row>
    <row r="68" spans="2:6" x14ac:dyDescent="0.3">
      <c r="B68"/>
      <c r="C68"/>
      <c r="D68"/>
      <c r="E68"/>
      <c r="F68"/>
    </row>
    <row r="69" spans="2:6" x14ac:dyDescent="0.3">
      <c r="B69"/>
      <c r="C69"/>
      <c r="D69"/>
      <c r="E69"/>
      <c r="F69"/>
    </row>
    <row r="70" spans="2:6" x14ac:dyDescent="0.3">
      <c r="B70"/>
      <c r="C70"/>
      <c r="D70"/>
      <c r="E70"/>
      <c r="F70"/>
    </row>
    <row r="71" spans="2:6" x14ac:dyDescent="0.3">
      <c r="B71"/>
      <c r="C71"/>
      <c r="D71"/>
      <c r="E71"/>
      <c r="F71"/>
    </row>
    <row r="72" spans="2:6" x14ac:dyDescent="0.3">
      <c r="B72"/>
      <c r="C72"/>
      <c r="D72"/>
      <c r="E72"/>
      <c r="F72"/>
    </row>
    <row r="73" spans="2:6" x14ac:dyDescent="0.3">
      <c r="B73"/>
      <c r="C73"/>
      <c r="D73"/>
      <c r="E73"/>
      <c r="F73"/>
    </row>
    <row r="74" spans="2:6" x14ac:dyDescent="0.3">
      <c r="B74"/>
      <c r="C74"/>
      <c r="D74"/>
      <c r="E74"/>
      <c r="F74"/>
    </row>
    <row r="75" spans="2:6" x14ac:dyDescent="0.3">
      <c r="B75"/>
      <c r="C75"/>
      <c r="D75"/>
      <c r="E75"/>
      <c r="F75"/>
    </row>
    <row r="76" spans="2:6" x14ac:dyDescent="0.3">
      <c r="B76"/>
      <c r="C76"/>
      <c r="D76"/>
      <c r="E76"/>
      <c r="F76"/>
    </row>
    <row r="77" spans="2:6" x14ac:dyDescent="0.3">
      <c r="B77"/>
      <c r="C77"/>
      <c r="D77"/>
      <c r="E77"/>
      <c r="F77"/>
    </row>
    <row r="78" spans="2:6" x14ac:dyDescent="0.3">
      <c r="B78"/>
      <c r="C78"/>
      <c r="D78"/>
      <c r="E78"/>
      <c r="F78"/>
    </row>
    <row r="79" spans="2:6" x14ac:dyDescent="0.3">
      <c r="B79"/>
      <c r="C79"/>
      <c r="D79"/>
      <c r="E79"/>
      <c r="F79"/>
    </row>
    <row r="80" spans="2:6" x14ac:dyDescent="0.3">
      <c r="B80"/>
      <c r="C80"/>
      <c r="D80"/>
      <c r="E80"/>
      <c r="F80"/>
    </row>
    <row r="81" spans="2:6" x14ac:dyDescent="0.3">
      <c r="B81"/>
      <c r="C81"/>
      <c r="D81"/>
      <c r="E81"/>
      <c r="F81"/>
    </row>
    <row r="82" spans="2:6" x14ac:dyDescent="0.3">
      <c r="B82"/>
      <c r="C82"/>
      <c r="D82"/>
      <c r="E82"/>
      <c r="F82"/>
    </row>
    <row r="83" spans="2:6" x14ac:dyDescent="0.3">
      <c r="B83"/>
      <c r="C83"/>
      <c r="D83"/>
      <c r="E83"/>
      <c r="F83"/>
    </row>
    <row r="84" spans="2:6" x14ac:dyDescent="0.3">
      <c r="B84"/>
      <c r="C84"/>
      <c r="D84"/>
      <c r="E84"/>
      <c r="F84"/>
    </row>
    <row r="85" spans="2:6" x14ac:dyDescent="0.3">
      <c r="B85"/>
      <c r="C85"/>
      <c r="D85"/>
      <c r="E85"/>
      <c r="F85"/>
    </row>
    <row r="86" spans="2:6" x14ac:dyDescent="0.3">
      <c r="B86"/>
      <c r="C86"/>
      <c r="D86"/>
      <c r="E86"/>
      <c r="F86"/>
    </row>
    <row r="87" spans="2:6" x14ac:dyDescent="0.3">
      <c r="B87"/>
      <c r="C87"/>
      <c r="D87"/>
      <c r="E87"/>
      <c r="F87"/>
    </row>
    <row r="88" spans="2:6" x14ac:dyDescent="0.3">
      <c r="B88"/>
      <c r="C88"/>
      <c r="D88"/>
      <c r="E88"/>
      <c r="F88"/>
    </row>
    <row r="89" spans="2:6" x14ac:dyDescent="0.3">
      <c r="B89"/>
      <c r="C89"/>
      <c r="D89"/>
      <c r="E89"/>
      <c r="F89"/>
    </row>
    <row r="90" spans="2:6" x14ac:dyDescent="0.3">
      <c r="B90"/>
      <c r="C90"/>
      <c r="D90"/>
      <c r="E90"/>
      <c r="F90"/>
    </row>
    <row r="91" spans="2:6" x14ac:dyDescent="0.3">
      <c r="B91"/>
      <c r="C91"/>
      <c r="D91"/>
      <c r="E91"/>
      <c r="F91"/>
    </row>
    <row r="92" spans="2:6" x14ac:dyDescent="0.3">
      <c r="B92"/>
      <c r="C92"/>
      <c r="D92"/>
      <c r="E92"/>
      <c r="F92"/>
    </row>
    <row r="93" spans="2:6" x14ac:dyDescent="0.3">
      <c r="B93"/>
      <c r="C93"/>
      <c r="D93"/>
      <c r="E93"/>
      <c r="F93"/>
    </row>
    <row r="94" spans="2:6" x14ac:dyDescent="0.3">
      <c r="B94"/>
      <c r="C94"/>
      <c r="D94"/>
      <c r="E94"/>
      <c r="F94"/>
    </row>
    <row r="95" spans="2:6" x14ac:dyDescent="0.3">
      <c r="B95"/>
      <c r="C95"/>
      <c r="D95"/>
      <c r="E95"/>
      <c r="F95"/>
    </row>
    <row r="96" spans="2:6" x14ac:dyDescent="0.3">
      <c r="B96"/>
      <c r="C96"/>
      <c r="D96"/>
      <c r="E96"/>
      <c r="F96"/>
    </row>
    <row r="97" spans="2:6" x14ac:dyDescent="0.3">
      <c r="B97"/>
      <c r="C97"/>
      <c r="D97"/>
      <c r="E97"/>
      <c r="F97"/>
    </row>
    <row r="98" spans="2:6" x14ac:dyDescent="0.3">
      <c r="B98"/>
      <c r="C98"/>
      <c r="D98"/>
      <c r="E98"/>
      <c r="F98"/>
    </row>
    <row r="99" spans="2:6" x14ac:dyDescent="0.3">
      <c r="B99"/>
      <c r="C99"/>
      <c r="D99"/>
      <c r="E99"/>
      <c r="F99"/>
    </row>
    <row r="100" spans="2:6" x14ac:dyDescent="0.3">
      <c r="B100"/>
      <c r="C100"/>
      <c r="D100"/>
      <c r="E100"/>
      <c r="F100"/>
    </row>
    <row r="101" spans="2:6" x14ac:dyDescent="0.3">
      <c r="B101"/>
      <c r="C101"/>
      <c r="D101"/>
      <c r="E101"/>
      <c r="F101"/>
    </row>
    <row r="102" spans="2:6" x14ac:dyDescent="0.3">
      <c r="B102"/>
      <c r="C102"/>
      <c r="D102"/>
      <c r="E102"/>
      <c r="F102"/>
    </row>
    <row r="103" spans="2:6" x14ac:dyDescent="0.3">
      <c r="B103"/>
      <c r="C103"/>
      <c r="D103"/>
      <c r="E103"/>
      <c r="F103"/>
    </row>
    <row r="104" spans="2:6" x14ac:dyDescent="0.3">
      <c r="B104"/>
      <c r="C104"/>
      <c r="D104"/>
      <c r="E104"/>
      <c r="F104"/>
    </row>
    <row r="105" spans="2:6" x14ac:dyDescent="0.3">
      <c r="B105"/>
      <c r="C105"/>
      <c r="D105"/>
      <c r="E105"/>
      <c r="F105"/>
    </row>
    <row r="106" spans="2:6" x14ac:dyDescent="0.3">
      <c r="B106"/>
      <c r="C106"/>
      <c r="D106"/>
      <c r="E106"/>
      <c r="F106"/>
    </row>
    <row r="107" spans="2:6" x14ac:dyDescent="0.3">
      <c r="B107"/>
      <c r="C107"/>
      <c r="D107"/>
      <c r="E107"/>
      <c r="F107"/>
    </row>
    <row r="108" spans="2:6" x14ac:dyDescent="0.3">
      <c r="B108"/>
      <c r="C108"/>
      <c r="D108"/>
      <c r="E108"/>
      <c r="F108"/>
    </row>
    <row r="109" spans="2:6" x14ac:dyDescent="0.3">
      <c r="B109"/>
      <c r="C109"/>
      <c r="D109"/>
      <c r="E109"/>
      <c r="F109"/>
    </row>
    <row r="110" spans="2:6" x14ac:dyDescent="0.3">
      <c r="B110"/>
      <c r="C110"/>
      <c r="D110"/>
      <c r="E110"/>
      <c r="F110"/>
    </row>
    <row r="111" spans="2:6" x14ac:dyDescent="0.3">
      <c r="B111"/>
      <c r="C111"/>
      <c r="D111"/>
      <c r="E111"/>
      <c r="F111"/>
    </row>
    <row r="112" spans="2:6" x14ac:dyDescent="0.3">
      <c r="B112"/>
      <c r="C112"/>
      <c r="D112"/>
      <c r="E112"/>
      <c r="F112"/>
    </row>
    <row r="113" spans="2:6" x14ac:dyDescent="0.3">
      <c r="B113"/>
      <c r="C113"/>
      <c r="D113"/>
      <c r="E113"/>
      <c r="F113"/>
    </row>
    <row r="114" spans="2:6" x14ac:dyDescent="0.3">
      <c r="B114"/>
      <c r="C114"/>
      <c r="D114"/>
      <c r="E114"/>
      <c r="F114"/>
    </row>
    <row r="115" spans="2:6" x14ac:dyDescent="0.3">
      <c r="B115"/>
      <c r="C115"/>
      <c r="D115"/>
      <c r="E115"/>
      <c r="F115"/>
    </row>
    <row r="116" spans="2:6" x14ac:dyDescent="0.3">
      <c r="B116"/>
      <c r="C116"/>
      <c r="D116"/>
      <c r="E116"/>
      <c r="F116"/>
    </row>
    <row r="117" spans="2:6" x14ac:dyDescent="0.3">
      <c r="B117"/>
      <c r="C117"/>
      <c r="D117"/>
      <c r="E117"/>
      <c r="F117"/>
    </row>
    <row r="118" spans="2:6" x14ac:dyDescent="0.3">
      <c r="B118"/>
      <c r="C118"/>
      <c r="D118"/>
      <c r="E118"/>
      <c r="F118"/>
    </row>
    <row r="119" spans="2:6" x14ac:dyDescent="0.3">
      <c r="B119"/>
      <c r="C119"/>
      <c r="D119"/>
      <c r="E119"/>
      <c r="F119"/>
    </row>
    <row r="120" spans="2:6" x14ac:dyDescent="0.3">
      <c r="B120"/>
      <c r="C120"/>
      <c r="D120"/>
      <c r="E120"/>
      <c r="F120"/>
    </row>
    <row r="121" spans="2:6" x14ac:dyDescent="0.3">
      <c r="B121"/>
      <c r="C121"/>
      <c r="D121"/>
      <c r="E121"/>
      <c r="F121"/>
    </row>
    <row r="122" spans="2:6" x14ac:dyDescent="0.3">
      <c r="B122"/>
      <c r="C122"/>
      <c r="D122"/>
      <c r="E122"/>
      <c r="F122"/>
    </row>
    <row r="123" spans="2:6" x14ac:dyDescent="0.3">
      <c r="B123"/>
      <c r="C123"/>
      <c r="D123"/>
      <c r="E123"/>
      <c r="F123"/>
    </row>
    <row r="124" spans="2:6" x14ac:dyDescent="0.3">
      <c r="B124"/>
      <c r="C124"/>
      <c r="D124"/>
      <c r="E124"/>
      <c r="F124"/>
    </row>
    <row r="125" spans="2:6" x14ac:dyDescent="0.3">
      <c r="B125"/>
      <c r="C125"/>
      <c r="D125"/>
      <c r="E125"/>
      <c r="F125"/>
    </row>
    <row r="126" spans="2:6" x14ac:dyDescent="0.3">
      <c r="B126"/>
      <c r="C126"/>
      <c r="D126"/>
      <c r="E126"/>
      <c r="F126"/>
    </row>
    <row r="127" spans="2:6" x14ac:dyDescent="0.3">
      <c r="B127"/>
      <c r="C127"/>
      <c r="D127"/>
      <c r="E127"/>
      <c r="F127"/>
    </row>
    <row r="128" spans="2:6" x14ac:dyDescent="0.3">
      <c r="B128"/>
      <c r="C128"/>
      <c r="D128"/>
      <c r="E128"/>
      <c r="F128"/>
    </row>
    <row r="129" spans="2:6" x14ac:dyDescent="0.3">
      <c r="B129"/>
      <c r="C129"/>
      <c r="D129"/>
      <c r="E129"/>
      <c r="F129"/>
    </row>
    <row r="130" spans="2:6" x14ac:dyDescent="0.3">
      <c r="B130"/>
      <c r="C130"/>
      <c r="D130"/>
      <c r="E130"/>
      <c r="F130"/>
    </row>
    <row r="131" spans="2:6" x14ac:dyDescent="0.3">
      <c r="B131"/>
      <c r="C131"/>
      <c r="D131"/>
      <c r="E131"/>
      <c r="F131"/>
    </row>
    <row r="132" spans="2:6" x14ac:dyDescent="0.3">
      <c r="B132"/>
      <c r="C132"/>
      <c r="D132"/>
      <c r="E132"/>
      <c r="F132"/>
    </row>
    <row r="133" spans="2:6" x14ac:dyDescent="0.3">
      <c r="B133"/>
      <c r="C133"/>
      <c r="D133"/>
      <c r="E133"/>
      <c r="F133"/>
    </row>
    <row r="134" spans="2:6" x14ac:dyDescent="0.3">
      <c r="B134"/>
      <c r="C134"/>
      <c r="D134"/>
      <c r="E134"/>
      <c r="F134"/>
    </row>
    <row r="135" spans="2:6" x14ac:dyDescent="0.3">
      <c r="B135"/>
      <c r="C135"/>
      <c r="D135"/>
      <c r="E135"/>
      <c r="F135"/>
    </row>
    <row r="136" spans="2:6" x14ac:dyDescent="0.3">
      <c r="B136"/>
      <c r="C136"/>
      <c r="D136"/>
      <c r="E136"/>
      <c r="F136"/>
    </row>
    <row r="137" spans="2:6" x14ac:dyDescent="0.3">
      <c r="B137"/>
      <c r="C137"/>
      <c r="D137"/>
      <c r="E137"/>
      <c r="F137"/>
    </row>
    <row r="138" spans="2:6" x14ac:dyDescent="0.3">
      <c r="B138"/>
      <c r="C138"/>
      <c r="D138"/>
      <c r="E138"/>
      <c r="F138"/>
    </row>
    <row r="139" spans="2:6" x14ac:dyDescent="0.3">
      <c r="B139"/>
      <c r="C139"/>
      <c r="D139"/>
      <c r="E139"/>
      <c r="F139"/>
    </row>
    <row r="140" spans="2:6" x14ac:dyDescent="0.3">
      <c r="B140"/>
      <c r="C140"/>
      <c r="D140"/>
      <c r="E140"/>
      <c r="F140"/>
    </row>
    <row r="141" spans="2:6" x14ac:dyDescent="0.3">
      <c r="B141"/>
      <c r="C141"/>
      <c r="D141"/>
      <c r="E141"/>
      <c r="F141"/>
    </row>
    <row r="142" spans="2:6" x14ac:dyDescent="0.3">
      <c r="B142"/>
      <c r="C142"/>
      <c r="D142"/>
      <c r="E142"/>
      <c r="F142"/>
    </row>
    <row r="143" spans="2:6" x14ac:dyDescent="0.3">
      <c r="B143"/>
      <c r="C143"/>
      <c r="D143"/>
      <c r="E143"/>
      <c r="F143"/>
    </row>
    <row r="144" spans="2:6" x14ac:dyDescent="0.3">
      <c r="B144"/>
      <c r="C144"/>
      <c r="D144"/>
      <c r="E144"/>
      <c r="F144"/>
    </row>
    <row r="145" spans="2:6" x14ac:dyDescent="0.3">
      <c r="B145"/>
      <c r="C145"/>
      <c r="D145"/>
      <c r="E145"/>
      <c r="F145"/>
    </row>
    <row r="146" spans="2:6" x14ac:dyDescent="0.3">
      <c r="B146"/>
      <c r="C146"/>
      <c r="D146"/>
      <c r="E146"/>
      <c r="F146"/>
    </row>
    <row r="147" spans="2:6" x14ac:dyDescent="0.3">
      <c r="B147"/>
      <c r="C147"/>
      <c r="D147"/>
      <c r="E147"/>
      <c r="F147"/>
    </row>
    <row r="148" spans="2:6" x14ac:dyDescent="0.3">
      <c r="B148"/>
      <c r="C148"/>
      <c r="D148"/>
      <c r="E148"/>
      <c r="F148"/>
    </row>
    <row r="149" spans="2:6" x14ac:dyDescent="0.3">
      <c r="B149"/>
      <c r="C149"/>
      <c r="D149"/>
      <c r="E149"/>
      <c r="F149"/>
    </row>
    <row r="150" spans="2:6" x14ac:dyDescent="0.3">
      <c r="B150"/>
      <c r="C150"/>
      <c r="D150"/>
      <c r="E150"/>
      <c r="F150"/>
    </row>
    <row r="151" spans="2:6" x14ac:dyDescent="0.3">
      <c r="B151"/>
      <c r="C151"/>
      <c r="D151"/>
      <c r="E151"/>
      <c r="F151"/>
    </row>
    <row r="152" spans="2:6" x14ac:dyDescent="0.3">
      <c r="B152"/>
      <c r="C152"/>
      <c r="D152"/>
      <c r="E152"/>
      <c r="F152"/>
    </row>
    <row r="153" spans="2:6" x14ac:dyDescent="0.3">
      <c r="B153"/>
      <c r="C153"/>
      <c r="D153"/>
      <c r="E153"/>
      <c r="F153"/>
    </row>
    <row r="154" spans="2:6" x14ac:dyDescent="0.3">
      <c r="B154"/>
      <c r="C154"/>
      <c r="D154"/>
      <c r="E154"/>
      <c r="F154"/>
    </row>
    <row r="155" spans="2:6" x14ac:dyDescent="0.3">
      <c r="B155"/>
      <c r="C155"/>
      <c r="D155"/>
    </row>
    <row r="156" spans="2:6" x14ac:dyDescent="0.3">
      <c r="B156"/>
      <c r="C156"/>
      <c r="D156"/>
    </row>
    <row r="157" spans="2:6" x14ac:dyDescent="0.3">
      <c r="B157"/>
      <c r="C157"/>
      <c r="D157"/>
    </row>
    <row r="158" spans="2:6" x14ac:dyDescent="0.3">
      <c r="B158"/>
      <c r="C158"/>
      <c r="D158"/>
    </row>
    <row r="159" spans="2:6" x14ac:dyDescent="0.3">
      <c r="B159"/>
      <c r="C159"/>
      <c r="D159"/>
    </row>
    <row r="160" spans="2:6" x14ac:dyDescent="0.3">
      <c r="B160"/>
      <c r="C160"/>
      <c r="D160"/>
    </row>
    <row r="161" spans="2:4" x14ac:dyDescent="0.3">
      <c r="B161"/>
      <c r="C161"/>
      <c r="D161"/>
    </row>
    <row r="162" spans="2:4" x14ac:dyDescent="0.3">
      <c r="B162"/>
      <c r="C162"/>
      <c r="D162"/>
    </row>
    <row r="163" spans="2:4" x14ac:dyDescent="0.3">
      <c r="B163"/>
      <c r="C163"/>
      <c r="D163"/>
    </row>
    <row r="164" spans="2:4" x14ac:dyDescent="0.3">
      <c r="B164"/>
      <c r="C164"/>
      <c r="D164"/>
    </row>
    <row r="165" spans="2:4" x14ac:dyDescent="0.3">
      <c r="B165"/>
      <c r="C165"/>
      <c r="D165"/>
    </row>
    <row r="166" spans="2:4" x14ac:dyDescent="0.3">
      <c r="B166"/>
      <c r="C166"/>
      <c r="D166"/>
    </row>
    <row r="167" spans="2:4" x14ac:dyDescent="0.3">
      <c r="B167"/>
      <c r="C167"/>
      <c r="D167"/>
    </row>
    <row r="168" spans="2:4" x14ac:dyDescent="0.3">
      <c r="B168"/>
      <c r="C168"/>
      <c r="D168"/>
    </row>
    <row r="169" spans="2:4" x14ac:dyDescent="0.3">
      <c r="B169"/>
      <c r="C169"/>
      <c r="D169"/>
    </row>
    <row r="170" spans="2:4" x14ac:dyDescent="0.3">
      <c r="B170"/>
      <c r="C170"/>
      <c r="D170"/>
    </row>
    <row r="171" spans="2:4" x14ac:dyDescent="0.3">
      <c r="B171"/>
      <c r="C171"/>
      <c r="D171"/>
    </row>
    <row r="172" spans="2:4" x14ac:dyDescent="0.3">
      <c r="B172"/>
      <c r="C172"/>
      <c r="D172"/>
    </row>
    <row r="173" spans="2:4" x14ac:dyDescent="0.3">
      <c r="B173"/>
      <c r="C173"/>
      <c r="D173"/>
    </row>
    <row r="174" spans="2:4" x14ac:dyDescent="0.3">
      <c r="B174"/>
      <c r="C174"/>
      <c r="D174"/>
    </row>
    <row r="175" spans="2:4" x14ac:dyDescent="0.3">
      <c r="B175"/>
      <c r="C175"/>
      <c r="D175"/>
    </row>
    <row r="176" spans="2:4" x14ac:dyDescent="0.3">
      <c r="B176"/>
      <c r="C176"/>
      <c r="D176"/>
    </row>
    <row r="177" spans="2:4" x14ac:dyDescent="0.3">
      <c r="B177"/>
      <c r="C177"/>
      <c r="D177"/>
    </row>
    <row r="178" spans="2:4" x14ac:dyDescent="0.3">
      <c r="B178"/>
      <c r="C178"/>
      <c r="D178"/>
    </row>
    <row r="179" spans="2:4" x14ac:dyDescent="0.3">
      <c r="B179"/>
      <c r="C179"/>
      <c r="D179"/>
    </row>
    <row r="180" spans="2:4" x14ac:dyDescent="0.3">
      <c r="B180"/>
      <c r="C180"/>
      <c r="D180"/>
    </row>
    <row r="181" spans="2:4" x14ac:dyDescent="0.3">
      <c r="B181"/>
      <c r="C181"/>
      <c r="D181"/>
    </row>
    <row r="182" spans="2:4" x14ac:dyDescent="0.3">
      <c r="B182"/>
      <c r="C182"/>
      <c r="D182"/>
    </row>
    <row r="183" spans="2:4" x14ac:dyDescent="0.3">
      <c r="B183"/>
      <c r="C183"/>
      <c r="D183"/>
    </row>
    <row r="184" spans="2:4" x14ac:dyDescent="0.3">
      <c r="B184"/>
      <c r="C184"/>
      <c r="D184"/>
    </row>
    <row r="185" spans="2:4" x14ac:dyDescent="0.3">
      <c r="B185"/>
      <c r="C185"/>
      <c r="D185"/>
    </row>
    <row r="186" spans="2:4" x14ac:dyDescent="0.3">
      <c r="B186"/>
      <c r="C186"/>
      <c r="D186"/>
    </row>
    <row r="187" spans="2:4" x14ac:dyDescent="0.3">
      <c r="B187"/>
      <c r="C187"/>
      <c r="D187"/>
    </row>
    <row r="188" spans="2:4" x14ac:dyDescent="0.3">
      <c r="B188"/>
      <c r="C188"/>
      <c r="D188"/>
    </row>
    <row r="189" spans="2:4" x14ac:dyDescent="0.3">
      <c r="B189"/>
      <c r="C189"/>
      <c r="D189"/>
    </row>
    <row r="190" spans="2:4" x14ac:dyDescent="0.3">
      <c r="B190"/>
      <c r="C190"/>
      <c r="D190"/>
    </row>
    <row r="191" spans="2:4" x14ac:dyDescent="0.3">
      <c r="B191"/>
      <c r="C191"/>
      <c r="D191"/>
    </row>
    <row r="192" spans="2:4" x14ac:dyDescent="0.3">
      <c r="B192"/>
      <c r="C192"/>
      <c r="D192"/>
    </row>
    <row r="193" spans="2:4" x14ac:dyDescent="0.3">
      <c r="B193"/>
      <c r="C193"/>
      <c r="D193"/>
    </row>
    <row r="194" spans="2:4" x14ac:dyDescent="0.3">
      <c r="B194"/>
      <c r="C194"/>
      <c r="D194"/>
    </row>
    <row r="195" spans="2:4" x14ac:dyDescent="0.3">
      <c r="B195"/>
      <c r="C195"/>
      <c r="D195"/>
    </row>
    <row r="196" spans="2:4" x14ac:dyDescent="0.3">
      <c r="B196"/>
      <c r="C196"/>
      <c r="D196"/>
    </row>
    <row r="197" spans="2:4" x14ac:dyDescent="0.3">
      <c r="B197"/>
      <c r="C197"/>
      <c r="D197"/>
    </row>
    <row r="198" spans="2:4" x14ac:dyDescent="0.3">
      <c r="B198"/>
      <c r="C198"/>
      <c r="D198"/>
    </row>
    <row r="199" spans="2:4" x14ac:dyDescent="0.3">
      <c r="B199"/>
      <c r="C199"/>
      <c r="D199"/>
    </row>
    <row r="200" spans="2:4" x14ac:dyDescent="0.3">
      <c r="B200"/>
      <c r="C200"/>
      <c r="D200"/>
    </row>
    <row r="201" spans="2:4" x14ac:dyDescent="0.3">
      <c r="B201"/>
      <c r="C201"/>
      <c r="D201"/>
    </row>
    <row r="202" spans="2:4" x14ac:dyDescent="0.3">
      <c r="B202"/>
      <c r="C202"/>
      <c r="D202"/>
    </row>
    <row r="203" spans="2:4" x14ac:dyDescent="0.3">
      <c r="B203"/>
      <c r="C203"/>
      <c r="D203"/>
    </row>
    <row r="204" spans="2:4" x14ac:dyDescent="0.3">
      <c r="B204"/>
      <c r="C204"/>
      <c r="D204"/>
    </row>
    <row r="205" spans="2:4" x14ac:dyDescent="0.3">
      <c r="B205"/>
      <c r="C205"/>
      <c r="D205"/>
    </row>
    <row r="206" spans="2:4" x14ac:dyDescent="0.3">
      <c r="B206"/>
      <c r="C206"/>
      <c r="D206"/>
    </row>
    <row r="207" spans="2:4" x14ac:dyDescent="0.3">
      <c r="B207"/>
      <c r="C207"/>
      <c r="D207"/>
    </row>
    <row r="208" spans="2:4" x14ac:dyDescent="0.3">
      <c r="B208"/>
      <c r="C208"/>
      <c r="D208"/>
    </row>
    <row r="209" spans="2:4" x14ac:dyDescent="0.3">
      <c r="B209"/>
      <c r="C209"/>
      <c r="D209"/>
    </row>
    <row r="210" spans="2:4" x14ac:dyDescent="0.3">
      <c r="B210"/>
      <c r="C210"/>
      <c r="D210"/>
    </row>
    <row r="211" spans="2:4" x14ac:dyDescent="0.3">
      <c r="B211"/>
      <c r="C211"/>
      <c r="D211"/>
    </row>
    <row r="212" spans="2:4" x14ac:dyDescent="0.3">
      <c r="B212"/>
      <c r="C212"/>
      <c r="D212"/>
    </row>
    <row r="213" spans="2:4" x14ac:dyDescent="0.3">
      <c r="B213"/>
      <c r="C213"/>
      <c r="D213"/>
    </row>
    <row r="214" spans="2:4" x14ac:dyDescent="0.3">
      <c r="B214"/>
      <c r="C214"/>
      <c r="D214"/>
    </row>
    <row r="215" spans="2:4" x14ac:dyDescent="0.3">
      <c r="B215"/>
      <c r="C215"/>
      <c r="D215"/>
    </row>
    <row r="216" spans="2:4" x14ac:dyDescent="0.3">
      <c r="B216"/>
      <c r="C216"/>
      <c r="D216"/>
    </row>
    <row r="217" spans="2:4" x14ac:dyDescent="0.3">
      <c r="B217"/>
      <c r="C217"/>
      <c r="D217"/>
    </row>
    <row r="218" spans="2:4" x14ac:dyDescent="0.3">
      <c r="B218"/>
      <c r="C218"/>
      <c r="D218"/>
    </row>
    <row r="219" spans="2:4" x14ac:dyDescent="0.3">
      <c r="B219"/>
      <c r="C219"/>
      <c r="D219"/>
    </row>
    <row r="220" spans="2:4" x14ac:dyDescent="0.3">
      <c r="B220"/>
      <c r="C220"/>
      <c r="D220"/>
    </row>
    <row r="221" spans="2:4" x14ac:dyDescent="0.3">
      <c r="B221"/>
      <c r="C221"/>
      <c r="D221"/>
    </row>
    <row r="222" spans="2:4" x14ac:dyDescent="0.3">
      <c r="B222"/>
      <c r="C222"/>
      <c r="D222"/>
    </row>
    <row r="223" spans="2:4" x14ac:dyDescent="0.3">
      <c r="B223"/>
      <c r="C223"/>
      <c r="D223"/>
    </row>
    <row r="224" spans="2:4" x14ac:dyDescent="0.3">
      <c r="B224"/>
      <c r="C224"/>
      <c r="D224"/>
    </row>
    <row r="225" spans="2:4" x14ac:dyDescent="0.3">
      <c r="B225"/>
      <c r="C225"/>
      <c r="D225"/>
    </row>
    <row r="226" spans="2:4" x14ac:dyDescent="0.3">
      <c r="B226"/>
      <c r="C226"/>
      <c r="D226"/>
    </row>
    <row r="227" spans="2:4" x14ac:dyDescent="0.3">
      <c r="B227"/>
      <c r="C227"/>
      <c r="D227"/>
    </row>
    <row r="228" spans="2:4" x14ac:dyDescent="0.3">
      <c r="B228"/>
      <c r="C228"/>
      <c r="D228"/>
    </row>
    <row r="229" spans="2:4" x14ac:dyDescent="0.3">
      <c r="B229"/>
      <c r="C229"/>
      <c r="D229"/>
    </row>
    <row r="230" spans="2:4" x14ac:dyDescent="0.3">
      <c r="B230"/>
      <c r="C230"/>
      <c r="D230"/>
    </row>
    <row r="231" spans="2:4" x14ac:dyDescent="0.3">
      <c r="B231"/>
      <c r="C231"/>
      <c r="D231"/>
    </row>
    <row r="232" spans="2:4" x14ac:dyDescent="0.3">
      <c r="B232"/>
      <c r="C232"/>
      <c r="D232"/>
    </row>
    <row r="233" spans="2:4" x14ac:dyDescent="0.3">
      <c r="B233"/>
      <c r="C233"/>
      <c r="D233"/>
    </row>
    <row r="234" spans="2:4" x14ac:dyDescent="0.3">
      <c r="B234"/>
      <c r="C234"/>
      <c r="D234"/>
    </row>
    <row r="235" spans="2:4" x14ac:dyDescent="0.3">
      <c r="B235"/>
      <c r="C235"/>
      <c r="D235"/>
    </row>
    <row r="236" spans="2:4" x14ac:dyDescent="0.3">
      <c r="B236"/>
      <c r="C236"/>
      <c r="D236"/>
    </row>
    <row r="237" spans="2:4" x14ac:dyDescent="0.3">
      <c r="B237"/>
      <c r="C237"/>
      <c r="D237"/>
    </row>
    <row r="238" spans="2:4" x14ac:dyDescent="0.3">
      <c r="B238"/>
      <c r="C238"/>
      <c r="D238"/>
    </row>
    <row r="239" spans="2:4" x14ac:dyDescent="0.3">
      <c r="B239"/>
      <c r="C239"/>
      <c r="D239"/>
    </row>
    <row r="240" spans="2:4" x14ac:dyDescent="0.3">
      <c r="B240"/>
      <c r="C240"/>
      <c r="D240"/>
    </row>
    <row r="241" spans="2:4" x14ac:dyDescent="0.3">
      <c r="B241"/>
      <c r="C241"/>
      <c r="D241"/>
    </row>
    <row r="242" spans="2:4" x14ac:dyDescent="0.3">
      <c r="B242"/>
      <c r="C242"/>
      <c r="D242"/>
    </row>
    <row r="243" spans="2:4" x14ac:dyDescent="0.3">
      <c r="B243"/>
      <c r="C243"/>
      <c r="D243"/>
    </row>
    <row r="244" spans="2:4" x14ac:dyDescent="0.3">
      <c r="B244"/>
      <c r="C244"/>
      <c r="D244"/>
    </row>
    <row r="245" spans="2:4" x14ac:dyDescent="0.3">
      <c r="B245"/>
      <c r="C245"/>
      <c r="D245"/>
    </row>
    <row r="246" spans="2:4" x14ac:dyDescent="0.3">
      <c r="B246"/>
      <c r="C246"/>
      <c r="D246"/>
    </row>
    <row r="247" spans="2:4" x14ac:dyDescent="0.3">
      <c r="B247"/>
      <c r="C247"/>
      <c r="D247"/>
    </row>
    <row r="248" spans="2:4" x14ac:dyDescent="0.3">
      <c r="B248"/>
      <c r="C248"/>
      <c r="D248"/>
    </row>
    <row r="249" spans="2:4" x14ac:dyDescent="0.3">
      <c r="B249"/>
      <c r="C249"/>
      <c r="D249"/>
    </row>
    <row r="250" spans="2:4" x14ac:dyDescent="0.3">
      <c r="B250"/>
      <c r="C250"/>
      <c r="D250"/>
    </row>
    <row r="251" spans="2:4" x14ac:dyDescent="0.3">
      <c r="B251"/>
      <c r="C251"/>
      <c r="D251"/>
    </row>
    <row r="252" spans="2:4" x14ac:dyDescent="0.3">
      <c r="B252"/>
      <c r="C252"/>
      <c r="D252"/>
    </row>
    <row r="253" spans="2:4" x14ac:dyDescent="0.3">
      <c r="B253"/>
      <c r="C253"/>
      <c r="D253"/>
    </row>
    <row r="254" spans="2:4" x14ac:dyDescent="0.3">
      <c r="B254"/>
      <c r="C254"/>
      <c r="D254"/>
    </row>
    <row r="255" spans="2:4" x14ac:dyDescent="0.3">
      <c r="B255"/>
      <c r="C255"/>
      <c r="D255"/>
    </row>
    <row r="256" spans="2:4" x14ac:dyDescent="0.3">
      <c r="B256"/>
      <c r="C256"/>
      <c r="D256"/>
    </row>
    <row r="257" spans="2:4" x14ac:dyDescent="0.3">
      <c r="B257"/>
      <c r="C257"/>
      <c r="D257"/>
    </row>
    <row r="258" spans="2:4" x14ac:dyDescent="0.3">
      <c r="B258"/>
      <c r="C258"/>
      <c r="D258"/>
    </row>
    <row r="259" spans="2:4" x14ac:dyDescent="0.3">
      <c r="B259"/>
      <c r="C259"/>
      <c r="D259"/>
    </row>
    <row r="260" spans="2:4" x14ac:dyDescent="0.3">
      <c r="B260"/>
      <c r="C260"/>
      <c r="D260"/>
    </row>
    <row r="261" spans="2:4" x14ac:dyDescent="0.3">
      <c r="B261"/>
      <c r="C261"/>
      <c r="D261"/>
    </row>
    <row r="262" spans="2:4" x14ac:dyDescent="0.3">
      <c r="B262"/>
      <c r="C262"/>
      <c r="D262"/>
    </row>
    <row r="263" spans="2:4" x14ac:dyDescent="0.3">
      <c r="B263"/>
      <c r="C263"/>
      <c r="D263"/>
    </row>
    <row r="264" spans="2:4" x14ac:dyDescent="0.3">
      <c r="B264"/>
      <c r="C264"/>
      <c r="D264"/>
    </row>
    <row r="265" spans="2:4" x14ac:dyDescent="0.3">
      <c r="B265"/>
      <c r="C265"/>
      <c r="D265"/>
    </row>
    <row r="266" spans="2:4" x14ac:dyDescent="0.3">
      <c r="B266"/>
      <c r="C266"/>
      <c r="D266"/>
    </row>
    <row r="267" spans="2:4" x14ac:dyDescent="0.3">
      <c r="B267"/>
      <c r="C267"/>
      <c r="D267"/>
    </row>
    <row r="268" spans="2:4" x14ac:dyDescent="0.3">
      <c r="B268"/>
      <c r="C268"/>
      <c r="D268"/>
    </row>
    <row r="269" spans="2:4" x14ac:dyDescent="0.3">
      <c r="B269"/>
      <c r="C269"/>
      <c r="D269"/>
    </row>
    <row r="270" spans="2:4" x14ac:dyDescent="0.3">
      <c r="B270"/>
      <c r="C270"/>
      <c r="D270"/>
    </row>
    <row r="271" spans="2:4" x14ac:dyDescent="0.3">
      <c r="B271"/>
      <c r="C271"/>
      <c r="D271"/>
    </row>
    <row r="272" spans="2:4" x14ac:dyDescent="0.3">
      <c r="B272"/>
      <c r="C272"/>
      <c r="D272"/>
    </row>
    <row r="273" spans="2:4" x14ac:dyDescent="0.3">
      <c r="B273"/>
      <c r="C273"/>
      <c r="D273"/>
    </row>
    <row r="274" spans="2:4" x14ac:dyDescent="0.3">
      <c r="B274"/>
      <c r="C274"/>
      <c r="D274"/>
    </row>
    <row r="275" spans="2:4" x14ac:dyDescent="0.3">
      <c r="B275"/>
      <c r="C275"/>
      <c r="D275"/>
    </row>
    <row r="276" spans="2:4" x14ac:dyDescent="0.3">
      <c r="B276"/>
      <c r="C276"/>
      <c r="D276"/>
    </row>
    <row r="277" spans="2:4" x14ac:dyDescent="0.3">
      <c r="B277"/>
      <c r="C277"/>
      <c r="D277"/>
    </row>
    <row r="278" spans="2:4" x14ac:dyDescent="0.3">
      <c r="B278"/>
      <c r="C278"/>
      <c r="D278"/>
    </row>
    <row r="279" spans="2:4" x14ac:dyDescent="0.3">
      <c r="B279"/>
      <c r="C279"/>
      <c r="D279"/>
    </row>
    <row r="280" spans="2:4" x14ac:dyDescent="0.3">
      <c r="B280"/>
      <c r="C280"/>
      <c r="D280"/>
    </row>
    <row r="281" spans="2:4" x14ac:dyDescent="0.3">
      <c r="B281"/>
      <c r="C281"/>
      <c r="D281"/>
    </row>
    <row r="282" spans="2:4" x14ac:dyDescent="0.3">
      <c r="B282"/>
      <c r="C282"/>
      <c r="D282"/>
    </row>
    <row r="283" spans="2:4" x14ac:dyDescent="0.3">
      <c r="B283"/>
      <c r="C283"/>
      <c r="D283"/>
    </row>
    <row r="284" spans="2:4" x14ac:dyDescent="0.3">
      <c r="B284"/>
      <c r="C284"/>
      <c r="D284"/>
    </row>
    <row r="285" spans="2:4" x14ac:dyDescent="0.3">
      <c r="B285"/>
      <c r="C285"/>
      <c r="D285"/>
    </row>
    <row r="286" spans="2:4" x14ac:dyDescent="0.3">
      <c r="B286"/>
      <c r="C286"/>
      <c r="D286"/>
    </row>
    <row r="287" spans="2:4" x14ac:dyDescent="0.3">
      <c r="B287"/>
      <c r="C287"/>
      <c r="D287"/>
    </row>
    <row r="288" spans="2:4" x14ac:dyDescent="0.3">
      <c r="B288"/>
      <c r="C288"/>
      <c r="D288"/>
    </row>
    <row r="289" spans="2:4" x14ac:dyDescent="0.3">
      <c r="B289"/>
      <c r="C289"/>
      <c r="D289"/>
    </row>
    <row r="290" spans="2:4" x14ac:dyDescent="0.3">
      <c r="B290"/>
      <c r="C290"/>
      <c r="D290"/>
    </row>
    <row r="291" spans="2:4" x14ac:dyDescent="0.3">
      <c r="B291"/>
      <c r="C291"/>
      <c r="D291"/>
    </row>
    <row r="292" spans="2:4" x14ac:dyDescent="0.3">
      <c r="B292"/>
      <c r="C292"/>
      <c r="D292"/>
    </row>
    <row r="293" spans="2:4" x14ac:dyDescent="0.3">
      <c r="B293"/>
      <c r="C293"/>
      <c r="D293"/>
    </row>
    <row r="294" spans="2:4" x14ac:dyDescent="0.3">
      <c r="B294"/>
      <c r="C294"/>
      <c r="D294"/>
    </row>
    <row r="295" spans="2:4" x14ac:dyDescent="0.3">
      <c r="B295"/>
      <c r="C295"/>
      <c r="D295"/>
    </row>
    <row r="296" spans="2:4" x14ac:dyDescent="0.3">
      <c r="B296"/>
      <c r="C296"/>
      <c r="D296"/>
    </row>
    <row r="297" spans="2:4" x14ac:dyDescent="0.3">
      <c r="B297"/>
      <c r="C297"/>
      <c r="D297"/>
    </row>
    <row r="298" spans="2:4" x14ac:dyDescent="0.3">
      <c r="B298"/>
      <c r="C298"/>
      <c r="D298"/>
    </row>
    <row r="299" spans="2:4" x14ac:dyDescent="0.3">
      <c r="B299"/>
      <c r="C299"/>
      <c r="D299"/>
    </row>
    <row r="300" spans="2:4" x14ac:dyDescent="0.3">
      <c r="B300"/>
      <c r="C300"/>
      <c r="D300"/>
    </row>
    <row r="301" spans="2:4" x14ac:dyDescent="0.3">
      <c r="B301"/>
      <c r="C301"/>
      <c r="D301"/>
    </row>
    <row r="302" spans="2:4" x14ac:dyDescent="0.3">
      <c r="B302"/>
      <c r="C302"/>
      <c r="D302"/>
    </row>
    <row r="303" spans="2:4" x14ac:dyDescent="0.3">
      <c r="B303"/>
      <c r="C303"/>
      <c r="D303"/>
    </row>
    <row r="304" spans="2:4" x14ac:dyDescent="0.3">
      <c r="B304"/>
      <c r="C304"/>
      <c r="D304"/>
    </row>
    <row r="305" spans="2:4" x14ac:dyDescent="0.3">
      <c r="B305"/>
      <c r="C305"/>
      <c r="D305"/>
    </row>
    <row r="306" spans="2:4" x14ac:dyDescent="0.3">
      <c r="B306"/>
      <c r="C306"/>
      <c r="D306"/>
    </row>
    <row r="307" spans="2:4" x14ac:dyDescent="0.3">
      <c r="B307"/>
      <c r="C307"/>
      <c r="D307"/>
    </row>
    <row r="308" spans="2:4" x14ac:dyDescent="0.3">
      <c r="B308"/>
      <c r="C308"/>
      <c r="D308"/>
    </row>
    <row r="309" spans="2:4" x14ac:dyDescent="0.3">
      <c r="B309"/>
      <c r="C309"/>
      <c r="D309"/>
    </row>
    <row r="310" spans="2:4" x14ac:dyDescent="0.3">
      <c r="B310"/>
      <c r="C310"/>
      <c r="D310"/>
    </row>
    <row r="311" spans="2:4" x14ac:dyDescent="0.3">
      <c r="B311"/>
      <c r="C311"/>
      <c r="D311"/>
    </row>
    <row r="312" spans="2:4" x14ac:dyDescent="0.3">
      <c r="B312"/>
      <c r="C312"/>
      <c r="D312"/>
    </row>
    <row r="313" spans="2:4" x14ac:dyDescent="0.3">
      <c r="B313"/>
      <c r="C313"/>
      <c r="D313"/>
    </row>
    <row r="314" spans="2:4" x14ac:dyDescent="0.3">
      <c r="B314"/>
      <c r="C314"/>
      <c r="D314"/>
    </row>
    <row r="315" spans="2:4" x14ac:dyDescent="0.3">
      <c r="B315"/>
      <c r="C315"/>
      <c r="D315"/>
    </row>
    <row r="316" spans="2:4" x14ac:dyDescent="0.3">
      <c r="B316"/>
      <c r="C316"/>
      <c r="D316"/>
    </row>
    <row r="317" spans="2:4" x14ac:dyDescent="0.3">
      <c r="B317"/>
      <c r="C317"/>
      <c r="D317"/>
    </row>
    <row r="318" spans="2:4" x14ac:dyDescent="0.3">
      <c r="B318"/>
      <c r="C318"/>
      <c r="D318"/>
    </row>
    <row r="319" spans="2:4" x14ac:dyDescent="0.3">
      <c r="B319"/>
      <c r="C319"/>
      <c r="D319"/>
    </row>
    <row r="320" spans="2:4" x14ac:dyDescent="0.3">
      <c r="B320"/>
      <c r="C320"/>
      <c r="D320"/>
    </row>
    <row r="321" spans="2:4" x14ac:dyDescent="0.3">
      <c r="B321"/>
      <c r="C321"/>
      <c r="D321"/>
    </row>
    <row r="322" spans="2:4" x14ac:dyDescent="0.3">
      <c r="B322"/>
      <c r="C322"/>
      <c r="D322"/>
    </row>
    <row r="323" spans="2:4" x14ac:dyDescent="0.3">
      <c r="B323"/>
      <c r="C323"/>
      <c r="D323"/>
    </row>
    <row r="324" spans="2:4" x14ac:dyDescent="0.3">
      <c r="B324"/>
      <c r="C324"/>
      <c r="D324"/>
    </row>
    <row r="325" spans="2:4" x14ac:dyDescent="0.3">
      <c r="B325"/>
      <c r="C325"/>
      <c r="D325"/>
    </row>
    <row r="326" spans="2:4" x14ac:dyDescent="0.3">
      <c r="B326"/>
      <c r="C326"/>
      <c r="D326"/>
    </row>
    <row r="327" spans="2:4" x14ac:dyDescent="0.3">
      <c r="B327"/>
      <c r="C327"/>
      <c r="D327"/>
    </row>
    <row r="328" spans="2:4" x14ac:dyDescent="0.3">
      <c r="B328"/>
      <c r="C328"/>
      <c r="D328"/>
    </row>
    <row r="329" spans="2:4" x14ac:dyDescent="0.3">
      <c r="B329"/>
      <c r="C329"/>
      <c r="D329"/>
    </row>
    <row r="330" spans="2:4" x14ac:dyDescent="0.3">
      <c r="B330"/>
      <c r="C330"/>
      <c r="D330"/>
    </row>
    <row r="331" spans="2:4" x14ac:dyDescent="0.3">
      <c r="B331"/>
      <c r="C331"/>
      <c r="D331"/>
    </row>
    <row r="332" spans="2:4" x14ac:dyDescent="0.3">
      <c r="B332"/>
      <c r="C332"/>
      <c r="D332"/>
    </row>
    <row r="333" spans="2:4" x14ac:dyDescent="0.3">
      <c r="B333"/>
      <c r="C333"/>
      <c r="D333"/>
    </row>
    <row r="334" spans="2:4" x14ac:dyDescent="0.3">
      <c r="B334"/>
      <c r="C334"/>
      <c r="D334"/>
    </row>
    <row r="335" spans="2:4" x14ac:dyDescent="0.3">
      <c r="B335"/>
      <c r="C335"/>
      <c r="D335"/>
    </row>
    <row r="336" spans="2:4" x14ac:dyDescent="0.3">
      <c r="B336"/>
      <c r="C336"/>
      <c r="D336"/>
    </row>
    <row r="337" spans="2:4" x14ac:dyDescent="0.3">
      <c r="B337"/>
      <c r="C337"/>
      <c r="D337"/>
    </row>
    <row r="338" spans="2:4" x14ac:dyDescent="0.3">
      <c r="B338"/>
      <c r="C338"/>
      <c r="D338"/>
    </row>
    <row r="339" spans="2:4" x14ac:dyDescent="0.3">
      <c r="B339"/>
      <c r="C339"/>
      <c r="D339"/>
    </row>
    <row r="340" spans="2:4" x14ac:dyDescent="0.3">
      <c r="B340"/>
      <c r="C340"/>
      <c r="D340"/>
    </row>
    <row r="341" spans="2:4" x14ac:dyDescent="0.3">
      <c r="B341"/>
      <c r="C341"/>
      <c r="D341"/>
    </row>
    <row r="342" spans="2:4" x14ac:dyDescent="0.3">
      <c r="B342"/>
      <c r="C342"/>
      <c r="D342"/>
    </row>
    <row r="343" spans="2:4" x14ac:dyDescent="0.3">
      <c r="B343"/>
      <c r="C343"/>
      <c r="D343"/>
    </row>
    <row r="344" spans="2:4" x14ac:dyDescent="0.3">
      <c r="B344"/>
      <c r="C344"/>
      <c r="D344"/>
    </row>
    <row r="345" spans="2:4" x14ac:dyDescent="0.3">
      <c r="B345"/>
      <c r="C345"/>
      <c r="D345"/>
    </row>
    <row r="346" spans="2:4" x14ac:dyDescent="0.3">
      <c r="B346"/>
      <c r="C346"/>
      <c r="D346"/>
    </row>
    <row r="347" spans="2:4" x14ac:dyDescent="0.3">
      <c r="B347"/>
      <c r="C347"/>
      <c r="D347"/>
    </row>
    <row r="348" spans="2:4" x14ac:dyDescent="0.3">
      <c r="B348"/>
      <c r="C348"/>
      <c r="D348"/>
    </row>
    <row r="349" spans="2:4" x14ac:dyDescent="0.3">
      <c r="B349"/>
      <c r="C349"/>
      <c r="D349"/>
    </row>
    <row r="350" spans="2:4" x14ac:dyDescent="0.3">
      <c r="B350"/>
      <c r="C350"/>
      <c r="D350"/>
    </row>
    <row r="351" spans="2:4" x14ac:dyDescent="0.3">
      <c r="B351"/>
      <c r="C351"/>
      <c r="D351"/>
    </row>
    <row r="352" spans="2:4" x14ac:dyDescent="0.3">
      <c r="B352"/>
      <c r="C352"/>
      <c r="D352"/>
    </row>
    <row r="353" spans="2:4" x14ac:dyDescent="0.3">
      <c r="B353"/>
      <c r="C353"/>
      <c r="D353"/>
    </row>
    <row r="354" spans="2:4" x14ac:dyDescent="0.3">
      <c r="B354"/>
      <c r="C354"/>
      <c r="D354"/>
    </row>
    <row r="355" spans="2:4" x14ac:dyDescent="0.3">
      <c r="B355"/>
      <c r="C355"/>
      <c r="D355"/>
    </row>
    <row r="356" spans="2:4" x14ac:dyDescent="0.3">
      <c r="B356"/>
      <c r="C356"/>
      <c r="D356"/>
    </row>
    <row r="357" spans="2:4" x14ac:dyDescent="0.3">
      <c r="B357"/>
      <c r="C357"/>
      <c r="D357"/>
    </row>
    <row r="358" spans="2:4" x14ac:dyDescent="0.3">
      <c r="B358"/>
      <c r="C358"/>
      <c r="D358"/>
    </row>
    <row r="359" spans="2:4" x14ac:dyDescent="0.3">
      <c r="B359"/>
      <c r="C359"/>
      <c r="D359"/>
    </row>
    <row r="360" spans="2:4" x14ac:dyDescent="0.3">
      <c r="B360"/>
      <c r="C360"/>
      <c r="D360"/>
    </row>
    <row r="361" spans="2:4" x14ac:dyDescent="0.3">
      <c r="B361"/>
      <c r="C361"/>
      <c r="D361"/>
    </row>
    <row r="362" spans="2:4" x14ac:dyDescent="0.3">
      <c r="B362"/>
      <c r="C362"/>
      <c r="D362"/>
    </row>
    <row r="363" spans="2:4" x14ac:dyDescent="0.3">
      <c r="B363"/>
      <c r="C363"/>
      <c r="D363"/>
    </row>
    <row r="364" spans="2:4" x14ac:dyDescent="0.3">
      <c r="B364"/>
      <c r="C364"/>
      <c r="D364"/>
    </row>
    <row r="365" spans="2:4" x14ac:dyDescent="0.3">
      <c r="B365"/>
      <c r="C365"/>
      <c r="D365"/>
    </row>
    <row r="366" spans="2:4" x14ac:dyDescent="0.3">
      <c r="B366"/>
      <c r="C366"/>
      <c r="D366"/>
    </row>
    <row r="367" spans="2:4" x14ac:dyDescent="0.3">
      <c r="B367"/>
      <c r="C367"/>
      <c r="D367"/>
    </row>
    <row r="368" spans="2:4" x14ac:dyDescent="0.3">
      <c r="B368"/>
      <c r="C368"/>
      <c r="D368"/>
    </row>
    <row r="369" spans="2:4" x14ac:dyDescent="0.3">
      <c r="B369"/>
      <c r="C369"/>
      <c r="D369"/>
    </row>
    <row r="370" spans="2:4" x14ac:dyDescent="0.3">
      <c r="B370"/>
      <c r="C370"/>
      <c r="D370"/>
    </row>
    <row r="371" spans="2:4" x14ac:dyDescent="0.3">
      <c r="B371"/>
      <c r="C371"/>
      <c r="D371"/>
    </row>
    <row r="372" spans="2:4" x14ac:dyDescent="0.3">
      <c r="B372"/>
      <c r="C372"/>
      <c r="D372"/>
    </row>
    <row r="373" spans="2:4" x14ac:dyDescent="0.3">
      <c r="B373"/>
      <c r="C373"/>
      <c r="D373"/>
    </row>
    <row r="374" spans="2:4" x14ac:dyDescent="0.3">
      <c r="B374"/>
      <c r="C374"/>
      <c r="D374"/>
    </row>
    <row r="375" spans="2:4" x14ac:dyDescent="0.3">
      <c r="B375"/>
      <c r="C375"/>
      <c r="D375"/>
    </row>
    <row r="376" spans="2:4" x14ac:dyDescent="0.3">
      <c r="B376"/>
      <c r="C376"/>
      <c r="D376"/>
    </row>
    <row r="377" spans="2:4" x14ac:dyDescent="0.3">
      <c r="B377"/>
      <c r="C377"/>
      <c r="D377"/>
    </row>
    <row r="378" spans="2:4" x14ac:dyDescent="0.3">
      <c r="B378"/>
      <c r="C378"/>
      <c r="D378"/>
    </row>
    <row r="379" spans="2:4" x14ac:dyDescent="0.3">
      <c r="B379"/>
      <c r="C379"/>
      <c r="D379"/>
    </row>
    <row r="380" spans="2:4" x14ac:dyDescent="0.3">
      <c r="B380"/>
      <c r="C380"/>
      <c r="D380"/>
    </row>
    <row r="381" spans="2:4" x14ac:dyDescent="0.3">
      <c r="B381"/>
      <c r="C381"/>
      <c r="D381"/>
    </row>
    <row r="382" spans="2:4" x14ac:dyDescent="0.3">
      <c r="B382"/>
      <c r="C382"/>
      <c r="D382"/>
    </row>
    <row r="383" spans="2:4" x14ac:dyDescent="0.3">
      <c r="B383"/>
      <c r="C383"/>
      <c r="D383"/>
    </row>
    <row r="384" spans="2:4" x14ac:dyDescent="0.3">
      <c r="B384"/>
      <c r="C384"/>
      <c r="D384"/>
    </row>
    <row r="385" spans="2:4" x14ac:dyDescent="0.3">
      <c r="B385"/>
      <c r="C385"/>
      <c r="D385"/>
    </row>
    <row r="386" spans="2:4" x14ac:dyDescent="0.3">
      <c r="B386"/>
      <c r="C386"/>
      <c r="D386"/>
    </row>
    <row r="387" spans="2:4" x14ac:dyDescent="0.3">
      <c r="B387"/>
      <c r="C387"/>
      <c r="D387"/>
    </row>
    <row r="388" spans="2:4" x14ac:dyDescent="0.3">
      <c r="B388"/>
      <c r="C388"/>
      <c r="D388"/>
    </row>
    <row r="389" spans="2:4" x14ac:dyDescent="0.3">
      <c r="B389"/>
      <c r="C389"/>
      <c r="D389"/>
    </row>
    <row r="390" spans="2:4" x14ac:dyDescent="0.3">
      <c r="B390"/>
      <c r="C390"/>
      <c r="D390"/>
    </row>
    <row r="391" spans="2:4" x14ac:dyDescent="0.3">
      <c r="B391"/>
      <c r="C391"/>
      <c r="D391"/>
    </row>
    <row r="392" spans="2:4" x14ac:dyDescent="0.3">
      <c r="B392"/>
      <c r="C392"/>
      <c r="D392"/>
    </row>
    <row r="393" spans="2:4" x14ac:dyDescent="0.3">
      <c r="B393"/>
      <c r="C393"/>
      <c r="D393"/>
    </row>
    <row r="394" spans="2:4" x14ac:dyDescent="0.3">
      <c r="B394"/>
      <c r="C394"/>
      <c r="D394"/>
    </row>
    <row r="395" spans="2:4" x14ac:dyDescent="0.3">
      <c r="B395"/>
      <c r="C395"/>
      <c r="D395"/>
    </row>
    <row r="396" spans="2:4" x14ac:dyDescent="0.3">
      <c r="B396"/>
      <c r="C396"/>
      <c r="D396"/>
    </row>
    <row r="397" spans="2:4" x14ac:dyDescent="0.3">
      <c r="B397"/>
      <c r="C397"/>
      <c r="D397"/>
    </row>
  </sheetData>
  <sheetProtection pivotTables="0"/>
  <pageMargins left="0.39370078740157483" right="0.39370078740157483" top="0.39370078740157483" bottom="0.39370078740157483" header="0" footer="0"/>
  <pageSetup paperSize="9" scale="92" fitToHeight="0" orientation="portrait" r:id="rId2"/>
  <headerFooter scaleWithDoc="0">
    <oddFooter>&amp;L&amp;G&amp;C&amp;"-,Obyčejné"&amp;8&amp;K00-049Tisk: &amp;D &amp;T&amp;R&amp;"-,Obyčejné"&amp;8&amp;K00-049&amp;F</oddFooter>
  </headerFooter>
  <drawing r:id="rId3"/>
  <legacyDrawingHF r:id="rId4"/>
  <extLst>
    <ext xmlns:x14="http://schemas.microsoft.com/office/spreadsheetml/2009/9/main" uri="{A8765BA9-456A-4dab-B4F3-ACF838C121DE}">
      <x14:slicerList>
        <x14:slicer r:id="rId5"/>
      </x14:slicerList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B5:G395"/>
  <sheetViews>
    <sheetView showGridLines="0" zoomScaleNormal="100" workbookViewId="0">
      <pane ySplit="6" topLeftCell="A7" activePane="bottomLeft" state="frozen"/>
      <selection activeCell="B4" sqref="B4"/>
      <selection pane="bottomLeft" activeCell="B4" sqref="B4"/>
    </sheetView>
  </sheetViews>
  <sheetFormatPr defaultColWidth="9.109375" defaultRowHeight="13.8" x14ac:dyDescent="0.3"/>
  <cols>
    <col min="1" max="1" width="1.109375" style="10" customWidth="1"/>
    <col min="2" max="2" width="19.5546875" style="10" customWidth="1"/>
    <col min="3" max="3" width="46.109375" style="10" bestFit="1" customWidth="1"/>
    <col min="4" max="4" width="8.44140625" style="10" bestFit="1" customWidth="1"/>
    <col min="5" max="5" width="10.109375" style="10" bestFit="1" customWidth="1"/>
    <col min="6" max="6" width="8.88671875" style="10" customWidth="1"/>
    <col min="7" max="7" width="9.88671875" style="10" customWidth="1"/>
    <col min="8" max="16384" width="9.109375" style="10"/>
  </cols>
  <sheetData>
    <row r="5" spans="2:7" x14ac:dyDescent="0.3">
      <c r="B5" s="664" t="s">
        <v>583</v>
      </c>
      <c r="C5" s="665"/>
      <c r="D5" s="665"/>
      <c r="E5"/>
      <c r="F5"/>
      <c r="G5"/>
    </row>
    <row r="6" spans="2:7" x14ac:dyDescent="0.3">
      <c r="B6" s="665"/>
      <c r="C6" s="665"/>
      <c r="D6" s="666" t="s">
        <v>611</v>
      </c>
      <c r="E6"/>
      <c r="F6"/>
      <c r="G6"/>
    </row>
    <row r="7" spans="2:7" x14ac:dyDescent="0.3">
      <c r="B7" s="665" t="s">
        <v>622</v>
      </c>
      <c r="C7" s="665"/>
      <c r="D7" s="668"/>
      <c r="E7"/>
      <c r="F7"/>
      <c r="G7"/>
    </row>
    <row r="8" spans="2:7" x14ac:dyDescent="0.3">
      <c r="B8"/>
      <c r="C8"/>
      <c r="D8"/>
      <c r="E8"/>
      <c r="F8"/>
      <c r="G8"/>
    </row>
    <row r="9" spans="2:7" x14ac:dyDescent="0.3">
      <c r="B9"/>
      <c r="C9"/>
      <c r="D9"/>
      <c r="E9"/>
      <c r="F9"/>
      <c r="G9"/>
    </row>
    <row r="10" spans="2:7" x14ac:dyDescent="0.3">
      <c r="B10"/>
      <c r="C10"/>
      <c r="D10"/>
      <c r="E10"/>
      <c r="F10"/>
      <c r="G10"/>
    </row>
    <row r="11" spans="2:7" x14ac:dyDescent="0.3">
      <c r="B11"/>
      <c r="C11"/>
      <c r="D11"/>
      <c r="E11"/>
      <c r="F11"/>
      <c r="G11"/>
    </row>
    <row r="12" spans="2:7" x14ac:dyDescent="0.3">
      <c r="B12"/>
      <c r="C12"/>
      <c r="D12"/>
      <c r="E12"/>
      <c r="F12"/>
      <c r="G12"/>
    </row>
    <row r="13" spans="2:7" x14ac:dyDescent="0.3">
      <c r="B13"/>
      <c r="C13"/>
      <c r="D13"/>
      <c r="E13"/>
      <c r="F13"/>
      <c r="G13"/>
    </row>
    <row r="14" spans="2:7" x14ac:dyDescent="0.3">
      <c r="B14"/>
      <c r="C14"/>
      <c r="D14"/>
      <c r="E14"/>
      <c r="F14"/>
      <c r="G14"/>
    </row>
    <row r="15" spans="2:7" x14ac:dyDescent="0.3">
      <c r="B15"/>
      <c r="C15"/>
      <c r="D15"/>
      <c r="E15"/>
      <c r="F15"/>
      <c r="G15"/>
    </row>
    <row r="16" spans="2:7" x14ac:dyDescent="0.3">
      <c r="B16"/>
      <c r="C16"/>
      <c r="D16"/>
      <c r="E16"/>
      <c r="F16"/>
      <c r="G16"/>
    </row>
    <row r="17" spans="2:7" x14ac:dyDescent="0.3">
      <c r="B17"/>
      <c r="C17"/>
      <c r="D17"/>
      <c r="E17"/>
      <c r="F17"/>
      <c r="G17"/>
    </row>
    <row r="18" spans="2:7" x14ac:dyDescent="0.3">
      <c r="B18"/>
      <c r="C18"/>
      <c r="D18"/>
      <c r="E18"/>
      <c r="F18"/>
      <c r="G18"/>
    </row>
    <row r="19" spans="2:7" x14ac:dyDescent="0.3">
      <c r="B19"/>
      <c r="C19"/>
      <c r="D19"/>
      <c r="E19"/>
      <c r="F19"/>
      <c r="G19"/>
    </row>
    <row r="20" spans="2:7" x14ac:dyDescent="0.3">
      <c r="B20"/>
      <c r="C20"/>
      <c r="D20"/>
      <c r="E20"/>
      <c r="F20"/>
      <c r="G20"/>
    </row>
    <row r="21" spans="2:7" x14ac:dyDescent="0.3">
      <c r="B21"/>
      <c r="C21"/>
      <c r="D21"/>
      <c r="E21"/>
      <c r="F21"/>
      <c r="G21"/>
    </row>
    <row r="22" spans="2:7" x14ac:dyDescent="0.3">
      <c r="B22"/>
      <c r="C22"/>
      <c r="D22"/>
      <c r="E22"/>
      <c r="F22"/>
      <c r="G22"/>
    </row>
    <row r="23" spans="2:7" x14ac:dyDescent="0.3">
      <c r="B23"/>
      <c r="C23"/>
      <c r="D23"/>
      <c r="E23"/>
      <c r="F23"/>
      <c r="G23"/>
    </row>
    <row r="24" spans="2:7" x14ac:dyDescent="0.3">
      <c r="B24"/>
      <c r="C24"/>
      <c r="D24"/>
      <c r="E24"/>
      <c r="F24"/>
      <c r="G24"/>
    </row>
    <row r="25" spans="2:7" x14ac:dyDescent="0.3">
      <c r="B25"/>
      <c r="C25"/>
      <c r="D25"/>
      <c r="E25"/>
      <c r="F25"/>
      <c r="G25"/>
    </row>
    <row r="26" spans="2:7" x14ac:dyDescent="0.3">
      <c r="B26"/>
      <c r="C26"/>
      <c r="D26"/>
      <c r="E26"/>
      <c r="F26"/>
      <c r="G26"/>
    </row>
    <row r="27" spans="2:7" x14ac:dyDescent="0.3">
      <c r="B27"/>
      <c r="C27"/>
      <c r="D27"/>
      <c r="E27"/>
      <c r="F27"/>
      <c r="G27"/>
    </row>
    <row r="28" spans="2:7" x14ac:dyDescent="0.3">
      <c r="B28"/>
      <c r="C28"/>
      <c r="D28"/>
      <c r="E28"/>
      <c r="F28"/>
      <c r="G28"/>
    </row>
    <row r="29" spans="2:7" x14ac:dyDescent="0.3">
      <c r="B29"/>
      <c r="C29"/>
      <c r="D29"/>
      <c r="E29"/>
      <c r="F29"/>
      <c r="G29"/>
    </row>
    <row r="30" spans="2:7" x14ac:dyDescent="0.3">
      <c r="B30"/>
      <c r="C30"/>
      <c r="D30"/>
      <c r="E30"/>
      <c r="F30"/>
      <c r="G30"/>
    </row>
    <row r="31" spans="2:7" x14ac:dyDescent="0.3">
      <c r="B31"/>
      <c r="C31"/>
      <c r="D31"/>
      <c r="E31"/>
      <c r="F31"/>
      <c r="G31"/>
    </row>
    <row r="32" spans="2:7" x14ac:dyDescent="0.3">
      <c r="B32"/>
      <c r="C32"/>
      <c r="D32"/>
      <c r="E32"/>
      <c r="F32"/>
      <c r="G32"/>
    </row>
    <row r="33" spans="2:7" x14ac:dyDescent="0.3">
      <c r="B33"/>
      <c r="C33"/>
      <c r="D33"/>
      <c r="E33"/>
      <c r="F33"/>
      <c r="G33"/>
    </row>
    <row r="34" spans="2:7" x14ac:dyDescent="0.3">
      <c r="B34"/>
      <c r="C34"/>
      <c r="D34"/>
      <c r="E34"/>
      <c r="F34"/>
      <c r="G34"/>
    </row>
    <row r="35" spans="2:7" x14ac:dyDescent="0.3">
      <c r="B35"/>
      <c r="C35"/>
      <c r="D35"/>
      <c r="E35"/>
      <c r="F35"/>
      <c r="G35"/>
    </row>
    <row r="36" spans="2:7" x14ac:dyDescent="0.3">
      <c r="B36"/>
      <c r="C36"/>
      <c r="D36"/>
      <c r="E36"/>
      <c r="F36"/>
      <c r="G36"/>
    </row>
    <row r="37" spans="2:7" x14ac:dyDescent="0.3">
      <c r="B37"/>
      <c r="C37"/>
      <c r="D37"/>
      <c r="E37"/>
      <c r="F37"/>
      <c r="G37"/>
    </row>
    <row r="38" spans="2:7" x14ac:dyDescent="0.3">
      <c r="B38"/>
      <c r="C38"/>
      <c r="D38"/>
      <c r="E38"/>
      <c r="F38"/>
      <c r="G38"/>
    </row>
    <row r="39" spans="2:7" x14ac:dyDescent="0.3">
      <c r="B39"/>
      <c r="C39"/>
      <c r="D39"/>
      <c r="E39"/>
      <c r="F39"/>
      <c r="G39"/>
    </row>
    <row r="40" spans="2:7" x14ac:dyDescent="0.3">
      <c r="B40"/>
      <c r="C40"/>
      <c r="D40"/>
      <c r="E40"/>
      <c r="F40"/>
      <c r="G40"/>
    </row>
    <row r="41" spans="2:7" x14ac:dyDescent="0.3">
      <c r="B41"/>
      <c r="C41"/>
      <c r="D41"/>
      <c r="E41"/>
      <c r="F41"/>
      <c r="G41"/>
    </row>
    <row r="42" spans="2:7" x14ac:dyDescent="0.3">
      <c r="B42"/>
      <c r="C42"/>
      <c r="D42"/>
      <c r="E42"/>
      <c r="F42"/>
      <c r="G42"/>
    </row>
    <row r="43" spans="2:7" x14ac:dyDescent="0.3">
      <c r="B43"/>
      <c r="C43"/>
      <c r="D43"/>
      <c r="E43"/>
      <c r="F43"/>
      <c r="G43"/>
    </row>
    <row r="44" spans="2:7" x14ac:dyDescent="0.3">
      <c r="B44"/>
      <c r="C44"/>
      <c r="D44"/>
      <c r="E44"/>
      <c r="F44"/>
      <c r="G44"/>
    </row>
    <row r="45" spans="2:7" x14ac:dyDescent="0.3">
      <c r="B45"/>
      <c r="C45"/>
      <c r="D45"/>
      <c r="E45"/>
      <c r="F45"/>
      <c r="G45"/>
    </row>
    <row r="46" spans="2:7" x14ac:dyDescent="0.3">
      <c r="B46"/>
      <c r="C46"/>
      <c r="D46"/>
      <c r="E46"/>
      <c r="F46"/>
      <c r="G46"/>
    </row>
    <row r="47" spans="2:7" x14ac:dyDescent="0.3">
      <c r="B47"/>
      <c r="C47"/>
      <c r="D47"/>
      <c r="E47"/>
      <c r="F47"/>
      <c r="G47"/>
    </row>
    <row r="48" spans="2:7" x14ac:dyDescent="0.3">
      <c r="B48"/>
      <c r="C48"/>
      <c r="D48"/>
      <c r="E48"/>
      <c r="F48"/>
      <c r="G48"/>
    </row>
    <row r="49" spans="2:7" x14ac:dyDescent="0.3">
      <c r="B49"/>
      <c r="C49"/>
      <c r="D49"/>
      <c r="E49"/>
      <c r="F49"/>
      <c r="G49"/>
    </row>
    <row r="50" spans="2:7" x14ac:dyDescent="0.3">
      <c r="B50"/>
      <c r="C50"/>
      <c r="D50"/>
      <c r="E50"/>
      <c r="F50"/>
      <c r="G50"/>
    </row>
    <row r="51" spans="2:7" x14ac:dyDescent="0.3">
      <c r="B51"/>
      <c r="C51"/>
      <c r="D51"/>
      <c r="E51"/>
      <c r="F51"/>
      <c r="G51"/>
    </row>
    <row r="52" spans="2:7" x14ac:dyDescent="0.3">
      <c r="B52"/>
      <c r="C52"/>
      <c r="D52"/>
      <c r="E52"/>
      <c r="F52"/>
      <c r="G52"/>
    </row>
    <row r="53" spans="2:7" x14ac:dyDescent="0.3">
      <c r="B53"/>
      <c r="C53"/>
      <c r="D53"/>
      <c r="E53"/>
      <c r="F53"/>
      <c r="G53"/>
    </row>
    <row r="54" spans="2:7" x14ac:dyDescent="0.3">
      <c r="B54"/>
      <c r="C54"/>
      <c r="D54"/>
      <c r="E54"/>
      <c r="F54"/>
      <c r="G54"/>
    </row>
    <row r="55" spans="2:7" x14ac:dyDescent="0.3">
      <c r="B55"/>
      <c r="C55"/>
      <c r="D55"/>
      <c r="E55"/>
      <c r="F55"/>
      <c r="G55"/>
    </row>
    <row r="56" spans="2:7" x14ac:dyDescent="0.3">
      <c r="B56"/>
      <c r="C56"/>
      <c r="D56"/>
      <c r="E56"/>
      <c r="F56"/>
      <c r="G56"/>
    </row>
    <row r="57" spans="2:7" x14ac:dyDescent="0.3">
      <c r="B57"/>
      <c r="C57"/>
      <c r="D57"/>
      <c r="E57"/>
      <c r="F57"/>
      <c r="G57"/>
    </row>
    <row r="58" spans="2:7" x14ac:dyDescent="0.3">
      <c r="B58"/>
      <c r="C58"/>
      <c r="D58"/>
      <c r="E58"/>
      <c r="F58"/>
      <c r="G58"/>
    </row>
    <row r="59" spans="2:7" x14ac:dyDescent="0.3">
      <c r="B59"/>
      <c r="C59"/>
      <c r="D59"/>
      <c r="E59"/>
      <c r="F59"/>
      <c r="G59"/>
    </row>
    <row r="60" spans="2:7" x14ac:dyDescent="0.3">
      <c r="B60"/>
      <c r="C60"/>
      <c r="D60"/>
      <c r="E60"/>
      <c r="F60"/>
      <c r="G60"/>
    </row>
    <row r="61" spans="2:7" x14ac:dyDescent="0.3">
      <c r="B61"/>
      <c r="C61"/>
      <c r="D61"/>
      <c r="E61"/>
      <c r="F61"/>
      <c r="G61"/>
    </row>
    <row r="62" spans="2:7" x14ac:dyDescent="0.3">
      <c r="B62"/>
      <c r="C62"/>
      <c r="D62"/>
      <c r="E62"/>
      <c r="F62"/>
      <c r="G62"/>
    </row>
    <row r="63" spans="2:7" x14ac:dyDescent="0.3">
      <c r="B63"/>
      <c r="C63"/>
      <c r="D63"/>
      <c r="E63"/>
      <c r="F63"/>
      <c r="G63"/>
    </row>
    <row r="64" spans="2:7" x14ac:dyDescent="0.3">
      <c r="B64"/>
      <c r="C64"/>
      <c r="D64"/>
      <c r="E64"/>
      <c r="F64"/>
      <c r="G64"/>
    </row>
    <row r="65" spans="2:7" x14ac:dyDescent="0.3">
      <c r="B65"/>
      <c r="C65"/>
      <c r="D65"/>
      <c r="E65"/>
      <c r="F65"/>
      <c r="G65"/>
    </row>
    <row r="66" spans="2:7" x14ac:dyDescent="0.3">
      <c r="B66"/>
      <c r="C66"/>
      <c r="D66"/>
      <c r="E66"/>
      <c r="F66"/>
      <c r="G66"/>
    </row>
    <row r="67" spans="2:7" x14ac:dyDescent="0.3">
      <c r="B67"/>
      <c r="C67"/>
      <c r="D67"/>
      <c r="E67"/>
      <c r="F67"/>
      <c r="G67"/>
    </row>
    <row r="68" spans="2:7" x14ac:dyDescent="0.3">
      <c r="B68"/>
      <c r="C68"/>
      <c r="D68"/>
      <c r="E68"/>
      <c r="F68"/>
      <c r="G68"/>
    </row>
    <row r="69" spans="2:7" x14ac:dyDescent="0.3">
      <c r="B69"/>
      <c r="C69"/>
      <c r="D69"/>
      <c r="E69"/>
      <c r="F69"/>
      <c r="G69"/>
    </row>
    <row r="70" spans="2:7" x14ac:dyDescent="0.3">
      <c r="B70"/>
      <c r="C70"/>
      <c r="D70"/>
      <c r="E70"/>
      <c r="F70"/>
      <c r="G70"/>
    </row>
    <row r="71" spans="2:7" x14ac:dyDescent="0.3">
      <c r="B71"/>
      <c r="C71"/>
      <c r="D71"/>
      <c r="E71"/>
      <c r="F71"/>
      <c r="G71"/>
    </row>
    <row r="72" spans="2:7" x14ac:dyDescent="0.3">
      <c r="B72"/>
      <c r="C72"/>
      <c r="D72"/>
      <c r="E72"/>
      <c r="F72"/>
      <c r="G72"/>
    </row>
    <row r="73" spans="2:7" x14ac:dyDescent="0.3">
      <c r="B73"/>
      <c r="C73"/>
      <c r="D73"/>
      <c r="E73"/>
      <c r="F73"/>
      <c r="G73"/>
    </row>
    <row r="74" spans="2:7" x14ac:dyDescent="0.3">
      <c r="B74"/>
      <c r="C74"/>
      <c r="D74"/>
      <c r="E74"/>
      <c r="F74"/>
      <c r="G74"/>
    </row>
    <row r="75" spans="2:7" x14ac:dyDescent="0.3">
      <c r="B75"/>
      <c r="C75"/>
      <c r="D75"/>
      <c r="E75"/>
      <c r="F75"/>
      <c r="G75"/>
    </row>
    <row r="76" spans="2:7" x14ac:dyDescent="0.3">
      <c r="B76"/>
      <c r="C76"/>
      <c r="D76"/>
      <c r="E76"/>
      <c r="F76"/>
      <c r="G76"/>
    </row>
    <row r="77" spans="2:7" x14ac:dyDescent="0.3">
      <c r="B77"/>
      <c r="C77"/>
      <c r="D77"/>
      <c r="E77"/>
      <c r="F77"/>
      <c r="G77"/>
    </row>
    <row r="78" spans="2:7" x14ac:dyDescent="0.3">
      <c r="B78"/>
      <c r="C78"/>
      <c r="D78"/>
      <c r="E78"/>
      <c r="F78"/>
      <c r="G78"/>
    </row>
    <row r="79" spans="2:7" x14ac:dyDescent="0.3">
      <c r="B79"/>
      <c r="C79"/>
      <c r="D79"/>
      <c r="E79"/>
      <c r="F79"/>
      <c r="G79"/>
    </row>
    <row r="80" spans="2:7" x14ac:dyDescent="0.3">
      <c r="B80"/>
      <c r="C80"/>
      <c r="D80"/>
      <c r="E80"/>
      <c r="F80"/>
      <c r="G80"/>
    </row>
    <row r="81" spans="2:7" x14ac:dyDescent="0.3">
      <c r="B81"/>
      <c r="C81"/>
      <c r="D81"/>
      <c r="E81"/>
      <c r="F81"/>
      <c r="G81"/>
    </row>
    <row r="82" spans="2:7" x14ac:dyDescent="0.3">
      <c r="B82"/>
      <c r="C82"/>
      <c r="D82"/>
      <c r="E82"/>
      <c r="F82"/>
      <c r="G82"/>
    </row>
    <row r="83" spans="2:7" x14ac:dyDescent="0.3">
      <c r="B83"/>
      <c r="C83"/>
      <c r="D83"/>
      <c r="E83"/>
      <c r="F83"/>
      <c r="G83"/>
    </row>
    <row r="84" spans="2:7" x14ac:dyDescent="0.3">
      <c r="B84"/>
      <c r="C84"/>
      <c r="D84"/>
      <c r="E84"/>
      <c r="F84"/>
      <c r="G84"/>
    </row>
    <row r="85" spans="2:7" x14ac:dyDescent="0.3">
      <c r="B85"/>
      <c r="C85"/>
      <c r="D85"/>
      <c r="E85"/>
      <c r="F85"/>
      <c r="G85"/>
    </row>
    <row r="86" spans="2:7" x14ac:dyDescent="0.3">
      <c r="B86"/>
      <c r="C86"/>
      <c r="D86"/>
      <c r="E86"/>
      <c r="F86"/>
      <c r="G86"/>
    </row>
    <row r="87" spans="2:7" x14ac:dyDescent="0.3">
      <c r="B87"/>
      <c r="C87"/>
      <c r="D87"/>
      <c r="E87"/>
      <c r="F87"/>
      <c r="G87"/>
    </row>
    <row r="88" spans="2:7" x14ac:dyDescent="0.3">
      <c r="B88"/>
      <c r="C88"/>
      <c r="D88"/>
      <c r="E88"/>
      <c r="F88"/>
      <c r="G88"/>
    </row>
    <row r="89" spans="2:7" x14ac:dyDescent="0.3">
      <c r="B89"/>
      <c r="C89"/>
      <c r="D89"/>
      <c r="E89"/>
      <c r="F89"/>
      <c r="G89"/>
    </row>
    <row r="90" spans="2:7" x14ac:dyDescent="0.3">
      <c r="B90"/>
      <c r="C90"/>
      <c r="D90"/>
      <c r="E90"/>
      <c r="F90"/>
      <c r="G90"/>
    </row>
    <row r="91" spans="2:7" x14ac:dyDescent="0.3">
      <c r="B91"/>
      <c r="C91"/>
      <c r="D91"/>
      <c r="E91"/>
      <c r="F91"/>
      <c r="G91"/>
    </row>
    <row r="92" spans="2:7" x14ac:dyDescent="0.3">
      <c r="B92"/>
      <c r="C92"/>
      <c r="D92"/>
      <c r="E92"/>
      <c r="F92"/>
      <c r="G92"/>
    </row>
    <row r="93" spans="2:7" x14ac:dyDescent="0.3">
      <c r="B93"/>
      <c r="C93"/>
      <c r="D93"/>
      <c r="E93"/>
      <c r="F93"/>
      <c r="G93"/>
    </row>
    <row r="94" spans="2:7" x14ac:dyDescent="0.3">
      <c r="B94"/>
      <c r="C94"/>
      <c r="D94"/>
      <c r="E94"/>
      <c r="F94"/>
      <c r="G94"/>
    </row>
    <row r="95" spans="2:7" x14ac:dyDescent="0.3">
      <c r="B95"/>
      <c r="C95"/>
      <c r="D95"/>
      <c r="E95"/>
      <c r="F95"/>
      <c r="G95"/>
    </row>
    <row r="96" spans="2:7" x14ac:dyDescent="0.3">
      <c r="B96"/>
      <c r="C96"/>
      <c r="D96"/>
      <c r="E96"/>
      <c r="F96"/>
      <c r="G96"/>
    </row>
    <row r="97" spans="2:7" x14ac:dyDescent="0.3">
      <c r="B97"/>
      <c r="C97"/>
      <c r="D97"/>
      <c r="E97"/>
      <c r="F97"/>
      <c r="G97"/>
    </row>
    <row r="98" spans="2:7" x14ac:dyDescent="0.3">
      <c r="B98"/>
      <c r="C98"/>
      <c r="D98"/>
      <c r="E98"/>
      <c r="F98"/>
      <c r="G98"/>
    </row>
    <row r="99" spans="2:7" x14ac:dyDescent="0.3">
      <c r="B99"/>
      <c r="C99"/>
      <c r="D99"/>
      <c r="E99"/>
      <c r="F99"/>
      <c r="G99"/>
    </row>
    <row r="100" spans="2:7" x14ac:dyDescent="0.3">
      <c r="B100"/>
      <c r="C100"/>
      <c r="D100"/>
      <c r="E100"/>
      <c r="F100"/>
      <c r="G100"/>
    </row>
    <row r="101" spans="2:7" x14ac:dyDescent="0.3">
      <c r="B101"/>
      <c r="C101"/>
      <c r="D101"/>
      <c r="E101"/>
      <c r="F101"/>
      <c r="G101"/>
    </row>
    <row r="102" spans="2:7" x14ac:dyDescent="0.3">
      <c r="B102"/>
      <c r="C102"/>
      <c r="D102"/>
      <c r="E102"/>
      <c r="F102"/>
      <c r="G102"/>
    </row>
    <row r="103" spans="2:7" x14ac:dyDescent="0.3">
      <c r="B103"/>
      <c r="C103"/>
      <c r="D103"/>
      <c r="E103"/>
      <c r="F103"/>
      <c r="G103"/>
    </row>
    <row r="104" spans="2:7" x14ac:dyDescent="0.3">
      <c r="B104"/>
      <c r="C104"/>
      <c r="D104"/>
      <c r="E104"/>
      <c r="F104"/>
      <c r="G104"/>
    </row>
    <row r="105" spans="2:7" x14ac:dyDescent="0.3">
      <c r="B105"/>
      <c r="C105"/>
      <c r="D105"/>
      <c r="E105"/>
      <c r="F105"/>
      <c r="G105"/>
    </row>
    <row r="106" spans="2:7" x14ac:dyDescent="0.3">
      <c r="B106"/>
      <c r="C106"/>
      <c r="D106"/>
      <c r="E106"/>
      <c r="F106"/>
      <c r="G106"/>
    </row>
    <row r="107" spans="2:7" x14ac:dyDescent="0.3">
      <c r="B107"/>
      <c r="C107"/>
      <c r="D107"/>
      <c r="E107"/>
      <c r="F107"/>
      <c r="G107"/>
    </row>
    <row r="108" spans="2:7" x14ac:dyDescent="0.3">
      <c r="B108"/>
      <c r="C108"/>
      <c r="D108"/>
      <c r="E108"/>
      <c r="F108"/>
      <c r="G108"/>
    </row>
    <row r="109" spans="2:7" x14ac:dyDescent="0.3">
      <c r="B109"/>
      <c r="C109"/>
      <c r="D109"/>
      <c r="E109"/>
      <c r="F109"/>
      <c r="G109"/>
    </row>
    <row r="110" spans="2:7" x14ac:dyDescent="0.3">
      <c r="B110"/>
      <c r="C110"/>
      <c r="D110"/>
      <c r="E110"/>
      <c r="F110"/>
      <c r="G110"/>
    </row>
    <row r="111" spans="2:7" x14ac:dyDescent="0.3">
      <c r="B111"/>
      <c r="C111"/>
      <c r="D111"/>
      <c r="E111"/>
      <c r="F111"/>
      <c r="G111"/>
    </row>
    <row r="112" spans="2:7" x14ac:dyDescent="0.3">
      <c r="B112"/>
      <c r="C112"/>
      <c r="D112"/>
      <c r="E112"/>
      <c r="F112"/>
      <c r="G112"/>
    </row>
    <row r="113" spans="2:7" x14ac:dyDescent="0.3">
      <c r="B113"/>
      <c r="C113"/>
      <c r="D113"/>
      <c r="E113"/>
      <c r="F113"/>
      <c r="G113"/>
    </row>
    <row r="114" spans="2:7" x14ac:dyDescent="0.3">
      <c r="B114"/>
      <c r="C114"/>
      <c r="D114"/>
      <c r="E114"/>
      <c r="F114"/>
      <c r="G114"/>
    </row>
    <row r="115" spans="2:7" x14ac:dyDescent="0.3">
      <c r="B115"/>
      <c r="C115"/>
      <c r="D115"/>
      <c r="E115"/>
      <c r="F115"/>
      <c r="G115"/>
    </row>
    <row r="116" spans="2:7" x14ac:dyDescent="0.3">
      <c r="B116"/>
      <c r="C116"/>
      <c r="D116"/>
      <c r="E116"/>
      <c r="F116"/>
      <c r="G116"/>
    </row>
    <row r="117" spans="2:7" x14ac:dyDescent="0.3">
      <c r="B117"/>
      <c r="C117"/>
      <c r="D117"/>
      <c r="E117"/>
      <c r="F117"/>
      <c r="G117"/>
    </row>
    <row r="118" spans="2:7" x14ac:dyDescent="0.3">
      <c r="B118"/>
      <c r="C118"/>
      <c r="D118"/>
      <c r="E118"/>
      <c r="F118"/>
      <c r="G118"/>
    </row>
    <row r="119" spans="2:7" x14ac:dyDescent="0.3">
      <c r="B119"/>
      <c r="C119"/>
      <c r="D119"/>
      <c r="E119"/>
      <c r="F119"/>
      <c r="G119"/>
    </row>
    <row r="120" spans="2:7" x14ac:dyDescent="0.3">
      <c r="B120"/>
      <c r="C120"/>
      <c r="D120"/>
      <c r="E120"/>
      <c r="F120"/>
      <c r="G120"/>
    </row>
    <row r="121" spans="2:7" x14ac:dyDescent="0.3">
      <c r="B121"/>
      <c r="C121"/>
      <c r="D121"/>
      <c r="E121"/>
      <c r="F121"/>
      <c r="G121"/>
    </row>
    <row r="122" spans="2:7" x14ac:dyDescent="0.3">
      <c r="B122"/>
      <c r="C122"/>
      <c r="D122"/>
      <c r="E122"/>
      <c r="F122"/>
      <c r="G122"/>
    </row>
    <row r="123" spans="2:7" x14ac:dyDescent="0.3">
      <c r="B123"/>
      <c r="C123"/>
      <c r="D123"/>
      <c r="E123"/>
      <c r="F123"/>
      <c r="G123"/>
    </row>
    <row r="124" spans="2:7" x14ac:dyDescent="0.3">
      <c r="B124"/>
      <c r="C124"/>
      <c r="D124"/>
      <c r="E124"/>
      <c r="F124"/>
      <c r="G124"/>
    </row>
    <row r="125" spans="2:7" x14ac:dyDescent="0.3">
      <c r="B125"/>
      <c r="C125"/>
      <c r="D125"/>
      <c r="E125"/>
      <c r="F125"/>
      <c r="G125"/>
    </row>
    <row r="126" spans="2:7" x14ac:dyDescent="0.3">
      <c r="B126"/>
      <c r="C126"/>
      <c r="D126"/>
      <c r="E126"/>
      <c r="F126"/>
      <c r="G126"/>
    </row>
    <row r="127" spans="2:7" x14ac:dyDescent="0.3">
      <c r="B127"/>
      <c r="C127"/>
      <c r="D127"/>
      <c r="E127"/>
      <c r="F127"/>
      <c r="G127"/>
    </row>
    <row r="128" spans="2:7" x14ac:dyDescent="0.3">
      <c r="B128"/>
      <c r="C128"/>
      <c r="D128"/>
      <c r="E128"/>
      <c r="F128"/>
      <c r="G128"/>
    </row>
    <row r="129" spans="2:7" x14ac:dyDescent="0.3">
      <c r="B129"/>
      <c r="C129"/>
      <c r="D129"/>
      <c r="E129"/>
      <c r="F129"/>
      <c r="G129"/>
    </row>
    <row r="130" spans="2:7" x14ac:dyDescent="0.3">
      <c r="B130"/>
      <c r="C130"/>
      <c r="D130"/>
      <c r="E130"/>
      <c r="F130"/>
      <c r="G130"/>
    </row>
    <row r="131" spans="2:7" x14ac:dyDescent="0.3">
      <c r="B131"/>
      <c r="C131"/>
      <c r="D131"/>
      <c r="E131"/>
      <c r="F131"/>
      <c r="G131"/>
    </row>
    <row r="132" spans="2:7" x14ac:dyDescent="0.3">
      <c r="B132"/>
      <c r="C132"/>
      <c r="D132"/>
      <c r="E132"/>
      <c r="F132"/>
      <c r="G132"/>
    </row>
    <row r="133" spans="2:7" x14ac:dyDescent="0.3">
      <c r="B133"/>
      <c r="C133"/>
      <c r="D133"/>
      <c r="E133"/>
      <c r="F133"/>
      <c r="G133"/>
    </row>
    <row r="134" spans="2:7" x14ac:dyDescent="0.3">
      <c r="B134"/>
      <c r="C134"/>
      <c r="D134"/>
      <c r="E134"/>
      <c r="F134"/>
      <c r="G134"/>
    </row>
    <row r="135" spans="2:7" x14ac:dyDescent="0.3">
      <c r="B135"/>
      <c r="C135"/>
      <c r="D135"/>
      <c r="E135"/>
      <c r="F135"/>
      <c r="G135"/>
    </row>
    <row r="136" spans="2:7" x14ac:dyDescent="0.3">
      <c r="B136"/>
      <c r="C136"/>
      <c r="D136"/>
      <c r="E136"/>
      <c r="F136"/>
      <c r="G136"/>
    </row>
    <row r="137" spans="2:7" x14ac:dyDescent="0.3">
      <c r="B137"/>
      <c r="C137"/>
      <c r="D137"/>
      <c r="E137"/>
      <c r="F137"/>
      <c r="G137"/>
    </row>
    <row r="138" spans="2:7" x14ac:dyDescent="0.3">
      <c r="B138"/>
      <c r="C138"/>
      <c r="D138"/>
      <c r="E138"/>
      <c r="F138"/>
      <c r="G138"/>
    </row>
    <row r="139" spans="2:7" x14ac:dyDescent="0.3">
      <c r="B139"/>
      <c r="C139"/>
      <c r="D139"/>
      <c r="E139"/>
      <c r="F139"/>
      <c r="G139"/>
    </row>
    <row r="140" spans="2:7" x14ac:dyDescent="0.3">
      <c r="B140"/>
      <c r="C140"/>
      <c r="D140"/>
      <c r="E140"/>
      <c r="F140"/>
      <c r="G140"/>
    </row>
    <row r="141" spans="2:7" x14ac:dyDescent="0.3">
      <c r="B141"/>
      <c r="C141"/>
      <c r="D141"/>
      <c r="E141"/>
      <c r="F141"/>
      <c r="G141"/>
    </row>
    <row r="142" spans="2:7" x14ac:dyDescent="0.3">
      <c r="B142"/>
      <c r="C142"/>
      <c r="D142"/>
      <c r="E142"/>
      <c r="F142"/>
      <c r="G142"/>
    </row>
    <row r="143" spans="2:7" x14ac:dyDescent="0.3">
      <c r="B143"/>
      <c r="C143"/>
      <c r="D143"/>
      <c r="E143"/>
      <c r="F143"/>
      <c r="G143"/>
    </row>
    <row r="144" spans="2:7" x14ac:dyDescent="0.3">
      <c r="B144"/>
      <c r="C144"/>
      <c r="D144"/>
      <c r="E144"/>
      <c r="F144"/>
      <c r="G144"/>
    </row>
    <row r="145" spans="2:7" x14ac:dyDescent="0.3">
      <c r="B145"/>
      <c r="C145"/>
      <c r="D145"/>
      <c r="E145"/>
      <c r="F145"/>
      <c r="G145"/>
    </row>
    <row r="146" spans="2:7" x14ac:dyDescent="0.3">
      <c r="B146"/>
      <c r="C146"/>
      <c r="D146"/>
      <c r="E146"/>
      <c r="F146"/>
      <c r="G146"/>
    </row>
    <row r="147" spans="2:7" x14ac:dyDescent="0.3">
      <c r="B147"/>
      <c r="C147"/>
      <c r="D147"/>
      <c r="E147"/>
      <c r="F147"/>
      <c r="G147"/>
    </row>
    <row r="148" spans="2:7" x14ac:dyDescent="0.3">
      <c r="B148"/>
      <c r="C148"/>
      <c r="D148"/>
      <c r="E148"/>
      <c r="F148"/>
      <c r="G148"/>
    </row>
    <row r="149" spans="2:7" x14ac:dyDescent="0.3">
      <c r="B149"/>
      <c r="C149"/>
      <c r="D149"/>
      <c r="E149"/>
      <c r="F149"/>
      <c r="G149"/>
    </row>
    <row r="150" spans="2:7" x14ac:dyDescent="0.3">
      <c r="B150"/>
      <c r="C150"/>
      <c r="D150"/>
      <c r="E150"/>
      <c r="F150"/>
      <c r="G150"/>
    </row>
    <row r="151" spans="2:7" x14ac:dyDescent="0.3">
      <c r="B151"/>
      <c r="C151"/>
      <c r="D151"/>
      <c r="E151"/>
      <c r="F151"/>
      <c r="G151"/>
    </row>
    <row r="152" spans="2:7" x14ac:dyDescent="0.3">
      <c r="B152"/>
      <c r="C152"/>
      <c r="D152"/>
      <c r="E152"/>
      <c r="F152"/>
      <c r="G152"/>
    </row>
    <row r="153" spans="2:7" x14ac:dyDescent="0.3">
      <c r="B153"/>
      <c r="C153"/>
      <c r="D153"/>
      <c r="E153"/>
      <c r="F153"/>
      <c r="G153"/>
    </row>
    <row r="154" spans="2:7" x14ac:dyDescent="0.3">
      <c r="B154"/>
      <c r="C154"/>
      <c r="D154"/>
      <c r="E154"/>
      <c r="F154"/>
      <c r="G154"/>
    </row>
    <row r="155" spans="2:7" x14ac:dyDescent="0.3">
      <c r="B155"/>
      <c r="C155"/>
      <c r="D155"/>
      <c r="E155"/>
      <c r="F155"/>
      <c r="G155"/>
    </row>
    <row r="156" spans="2:7" x14ac:dyDescent="0.3">
      <c r="B156"/>
      <c r="C156"/>
      <c r="D156"/>
      <c r="E156"/>
      <c r="F156"/>
      <c r="G156"/>
    </row>
    <row r="157" spans="2:7" x14ac:dyDescent="0.3">
      <c r="B157"/>
      <c r="C157"/>
      <c r="D157"/>
      <c r="E157"/>
      <c r="F157"/>
      <c r="G157"/>
    </row>
    <row r="158" spans="2:7" x14ac:dyDescent="0.3">
      <c r="B158"/>
      <c r="C158"/>
      <c r="D158"/>
      <c r="E158"/>
      <c r="F158"/>
      <c r="G158"/>
    </row>
    <row r="159" spans="2:7" x14ac:dyDescent="0.3">
      <c r="B159"/>
      <c r="C159"/>
      <c r="D159"/>
      <c r="E159"/>
      <c r="F159"/>
      <c r="G159"/>
    </row>
    <row r="160" spans="2:7" x14ac:dyDescent="0.3">
      <c r="B160"/>
      <c r="C160"/>
      <c r="D160"/>
      <c r="E160"/>
      <c r="F160"/>
      <c r="G160"/>
    </row>
    <row r="161" spans="2:7" x14ac:dyDescent="0.3">
      <c r="B161"/>
      <c r="C161"/>
      <c r="D161"/>
      <c r="E161"/>
      <c r="F161"/>
      <c r="G161"/>
    </row>
    <row r="162" spans="2:7" x14ac:dyDescent="0.3">
      <c r="B162"/>
      <c r="C162"/>
      <c r="D162"/>
      <c r="E162"/>
      <c r="F162"/>
      <c r="G162"/>
    </row>
    <row r="163" spans="2:7" x14ac:dyDescent="0.3">
      <c r="B163"/>
      <c r="C163"/>
      <c r="D163"/>
      <c r="E163"/>
      <c r="F163"/>
      <c r="G163"/>
    </row>
    <row r="164" spans="2:7" x14ac:dyDescent="0.3">
      <c r="B164"/>
      <c r="C164"/>
      <c r="D164"/>
      <c r="E164"/>
      <c r="F164"/>
      <c r="G164"/>
    </row>
    <row r="165" spans="2:7" x14ac:dyDescent="0.3">
      <c r="B165"/>
      <c r="C165"/>
      <c r="D165"/>
      <c r="E165"/>
      <c r="F165"/>
      <c r="G165"/>
    </row>
    <row r="166" spans="2:7" x14ac:dyDescent="0.3">
      <c r="B166"/>
      <c r="C166"/>
      <c r="D166"/>
      <c r="E166"/>
      <c r="F166"/>
      <c r="G166"/>
    </row>
    <row r="167" spans="2:7" x14ac:dyDescent="0.3">
      <c r="B167"/>
      <c r="C167"/>
      <c r="D167"/>
      <c r="E167"/>
      <c r="F167"/>
      <c r="G167"/>
    </row>
    <row r="168" spans="2:7" x14ac:dyDescent="0.3">
      <c r="B168"/>
      <c r="C168"/>
      <c r="D168"/>
      <c r="E168"/>
      <c r="F168"/>
      <c r="G168"/>
    </row>
    <row r="169" spans="2:7" x14ac:dyDescent="0.3">
      <c r="B169"/>
      <c r="C169"/>
      <c r="D169"/>
      <c r="E169"/>
      <c r="F169"/>
      <c r="G169"/>
    </row>
    <row r="170" spans="2:7" x14ac:dyDescent="0.3">
      <c r="B170"/>
      <c r="C170"/>
      <c r="D170"/>
      <c r="E170"/>
      <c r="F170"/>
      <c r="G170"/>
    </row>
    <row r="171" spans="2:7" x14ac:dyDescent="0.3">
      <c r="B171"/>
      <c r="C171"/>
      <c r="D171"/>
      <c r="E171"/>
      <c r="F171"/>
      <c r="G171"/>
    </row>
    <row r="172" spans="2:7" x14ac:dyDescent="0.3">
      <c r="B172"/>
      <c r="C172"/>
      <c r="D172"/>
      <c r="E172"/>
      <c r="F172"/>
      <c r="G172"/>
    </row>
    <row r="173" spans="2:7" x14ac:dyDescent="0.3">
      <c r="B173"/>
      <c r="C173"/>
      <c r="D173"/>
      <c r="E173"/>
      <c r="F173"/>
      <c r="G173"/>
    </row>
    <row r="174" spans="2:7" x14ac:dyDescent="0.3">
      <c r="B174"/>
      <c r="C174"/>
      <c r="D174"/>
      <c r="E174"/>
      <c r="F174"/>
      <c r="G174"/>
    </row>
    <row r="175" spans="2:7" x14ac:dyDescent="0.3">
      <c r="B175"/>
      <c r="C175"/>
      <c r="D175"/>
      <c r="E175"/>
      <c r="F175"/>
      <c r="G175"/>
    </row>
    <row r="176" spans="2:7" x14ac:dyDescent="0.3">
      <c r="B176"/>
      <c r="C176"/>
      <c r="D176"/>
      <c r="E176"/>
      <c r="F176"/>
      <c r="G176"/>
    </row>
    <row r="177" spans="2:7" x14ac:dyDescent="0.3">
      <c r="B177"/>
      <c r="C177"/>
      <c r="D177"/>
      <c r="E177"/>
      <c r="F177"/>
      <c r="G177"/>
    </row>
    <row r="178" spans="2:7" x14ac:dyDescent="0.3">
      <c r="B178"/>
      <c r="C178"/>
      <c r="D178"/>
      <c r="E178"/>
      <c r="F178"/>
      <c r="G178"/>
    </row>
    <row r="179" spans="2:7" x14ac:dyDescent="0.3">
      <c r="B179"/>
      <c r="C179"/>
      <c r="D179"/>
      <c r="E179"/>
      <c r="F179"/>
      <c r="G179"/>
    </row>
    <row r="180" spans="2:7" x14ac:dyDescent="0.3">
      <c r="B180"/>
      <c r="C180"/>
      <c r="D180"/>
      <c r="E180"/>
      <c r="F180"/>
      <c r="G180"/>
    </row>
    <row r="181" spans="2:7" x14ac:dyDescent="0.3">
      <c r="B181"/>
      <c r="C181"/>
      <c r="D181"/>
      <c r="E181"/>
      <c r="F181"/>
      <c r="G181"/>
    </row>
    <row r="182" spans="2:7" x14ac:dyDescent="0.3">
      <c r="B182"/>
      <c r="C182"/>
      <c r="D182"/>
      <c r="E182"/>
      <c r="F182"/>
      <c r="G182"/>
    </row>
    <row r="183" spans="2:7" x14ac:dyDescent="0.3">
      <c r="B183"/>
      <c r="C183"/>
      <c r="D183"/>
      <c r="E183"/>
      <c r="F183"/>
      <c r="G183"/>
    </row>
    <row r="184" spans="2:7" x14ac:dyDescent="0.3">
      <c r="B184"/>
      <c r="C184"/>
      <c r="D184"/>
      <c r="E184"/>
      <c r="F184"/>
      <c r="G184"/>
    </row>
    <row r="185" spans="2:7" x14ac:dyDescent="0.3">
      <c r="B185"/>
      <c r="C185"/>
      <c r="D185"/>
      <c r="E185"/>
      <c r="F185"/>
      <c r="G185"/>
    </row>
    <row r="186" spans="2:7" x14ac:dyDescent="0.3">
      <c r="B186"/>
      <c r="C186"/>
      <c r="D186"/>
      <c r="E186"/>
      <c r="F186"/>
      <c r="G186"/>
    </row>
    <row r="187" spans="2:7" x14ac:dyDescent="0.3">
      <c r="B187"/>
      <c r="C187"/>
      <c r="D187"/>
      <c r="E187"/>
      <c r="F187"/>
      <c r="G187"/>
    </row>
    <row r="188" spans="2:7" x14ac:dyDescent="0.3">
      <c r="B188"/>
      <c r="C188"/>
      <c r="D188"/>
      <c r="E188"/>
      <c r="F188"/>
      <c r="G188"/>
    </row>
    <row r="189" spans="2:7" x14ac:dyDescent="0.3">
      <c r="B189"/>
      <c r="C189"/>
      <c r="D189"/>
      <c r="E189"/>
      <c r="F189"/>
      <c r="G189"/>
    </row>
    <row r="190" spans="2:7" x14ac:dyDescent="0.3">
      <c r="B190"/>
      <c r="C190"/>
      <c r="D190"/>
      <c r="E190"/>
      <c r="F190"/>
      <c r="G190"/>
    </row>
    <row r="191" spans="2:7" x14ac:dyDescent="0.3">
      <c r="B191"/>
      <c r="C191"/>
      <c r="D191"/>
      <c r="E191"/>
      <c r="F191"/>
      <c r="G191"/>
    </row>
    <row r="192" spans="2:7" x14ac:dyDescent="0.3">
      <c r="B192"/>
      <c r="C192"/>
      <c r="D192"/>
      <c r="E192"/>
      <c r="F192"/>
      <c r="G192"/>
    </row>
    <row r="193" spans="2:7" x14ac:dyDescent="0.3">
      <c r="B193"/>
      <c r="C193"/>
      <c r="D193"/>
      <c r="E193"/>
      <c r="F193"/>
      <c r="G193"/>
    </row>
    <row r="194" spans="2:7" x14ac:dyDescent="0.3">
      <c r="B194"/>
      <c r="C194"/>
      <c r="D194"/>
      <c r="E194"/>
      <c r="F194"/>
      <c r="G194"/>
    </row>
    <row r="195" spans="2:7" x14ac:dyDescent="0.3">
      <c r="B195"/>
      <c r="C195"/>
      <c r="D195"/>
      <c r="E195"/>
      <c r="F195"/>
      <c r="G195"/>
    </row>
    <row r="196" spans="2:7" x14ac:dyDescent="0.3">
      <c r="B196"/>
      <c r="C196"/>
      <c r="D196"/>
      <c r="E196"/>
      <c r="F196"/>
      <c r="G196"/>
    </row>
    <row r="197" spans="2:7" x14ac:dyDescent="0.3">
      <c r="B197"/>
      <c r="C197"/>
      <c r="D197"/>
      <c r="E197"/>
      <c r="F197"/>
      <c r="G197"/>
    </row>
    <row r="198" spans="2:7" x14ac:dyDescent="0.3">
      <c r="B198"/>
      <c r="C198"/>
      <c r="D198"/>
      <c r="E198"/>
      <c r="F198"/>
      <c r="G198"/>
    </row>
    <row r="199" spans="2:7" x14ac:dyDescent="0.3">
      <c r="B199"/>
      <c r="C199"/>
      <c r="D199"/>
      <c r="E199"/>
      <c r="F199"/>
      <c r="G199"/>
    </row>
    <row r="200" spans="2:7" x14ac:dyDescent="0.3">
      <c r="B200"/>
      <c r="C200"/>
      <c r="D200"/>
      <c r="E200"/>
      <c r="F200"/>
      <c r="G200"/>
    </row>
    <row r="201" spans="2:7" x14ac:dyDescent="0.3">
      <c r="B201"/>
      <c r="C201"/>
      <c r="D201"/>
      <c r="E201"/>
      <c r="F201"/>
      <c r="G201"/>
    </row>
    <row r="202" spans="2:7" x14ac:dyDescent="0.3">
      <c r="B202"/>
      <c r="C202"/>
      <c r="D202"/>
      <c r="E202"/>
      <c r="F202"/>
      <c r="G202"/>
    </row>
    <row r="203" spans="2:7" x14ac:dyDescent="0.3">
      <c r="B203"/>
      <c r="C203"/>
      <c r="D203"/>
      <c r="E203"/>
      <c r="F203"/>
      <c r="G203"/>
    </row>
    <row r="204" spans="2:7" x14ac:dyDescent="0.3">
      <c r="B204"/>
      <c r="C204"/>
      <c r="D204"/>
      <c r="E204"/>
      <c r="F204"/>
      <c r="G204"/>
    </row>
    <row r="205" spans="2:7" x14ac:dyDescent="0.3">
      <c r="B205"/>
      <c r="C205"/>
      <c r="D205"/>
      <c r="E205"/>
      <c r="F205"/>
      <c r="G205"/>
    </row>
    <row r="206" spans="2:7" x14ac:dyDescent="0.3">
      <c r="B206"/>
      <c r="C206"/>
      <c r="D206"/>
      <c r="E206"/>
      <c r="F206"/>
      <c r="G206"/>
    </row>
    <row r="207" spans="2:7" x14ac:dyDescent="0.3">
      <c r="B207"/>
      <c r="C207"/>
      <c r="D207"/>
      <c r="E207"/>
      <c r="F207"/>
      <c r="G207"/>
    </row>
    <row r="208" spans="2:7" x14ac:dyDescent="0.3">
      <c r="B208"/>
      <c r="C208"/>
      <c r="D208"/>
      <c r="E208"/>
      <c r="F208"/>
      <c r="G208"/>
    </row>
    <row r="209" spans="2:7" x14ac:dyDescent="0.3">
      <c r="B209"/>
      <c r="C209"/>
      <c r="D209"/>
      <c r="E209"/>
      <c r="F209"/>
      <c r="G209"/>
    </row>
    <row r="210" spans="2:7" x14ac:dyDescent="0.3">
      <c r="B210"/>
      <c r="C210"/>
      <c r="D210"/>
      <c r="E210"/>
      <c r="F210"/>
      <c r="G210"/>
    </row>
    <row r="211" spans="2:7" x14ac:dyDescent="0.3">
      <c r="B211"/>
      <c r="C211"/>
      <c r="D211"/>
      <c r="E211"/>
      <c r="F211"/>
      <c r="G211"/>
    </row>
    <row r="212" spans="2:7" x14ac:dyDescent="0.3">
      <c r="B212"/>
      <c r="C212"/>
      <c r="D212"/>
      <c r="E212"/>
      <c r="F212"/>
      <c r="G212"/>
    </row>
    <row r="213" spans="2:7" x14ac:dyDescent="0.3">
      <c r="B213"/>
      <c r="C213"/>
      <c r="D213"/>
      <c r="E213"/>
      <c r="F213"/>
      <c r="G213"/>
    </row>
    <row r="214" spans="2:7" x14ac:dyDescent="0.3">
      <c r="B214"/>
      <c r="C214"/>
      <c r="D214"/>
      <c r="E214"/>
      <c r="F214"/>
      <c r="G214"/>
    </row>
    <row r="215" spans="2:7" x14ac:dyDescent="0.3">
      <c r="B215"/>
      <c r="C215"/>
      <c r="D215"/>
      <c r="E215"/>
      <c r="F215"/>
      <c r="G215"/>
    </row>
    <row r="216" spans="2:7" x14ac:dyDescent="0.3">
      <c r="B216"/>
      <c r="C216"/>
      <c r="D216"/>
      <c r="E216"/>
      <c r="F216"/>
      <c r="G216"/>
    </row>
    <row r="217" spans="2:7" x14ac:dyDescent="0.3">
      <c r="B217"/>
      <c r="C217"/>
      <c r="D217"/>
      <c r="E217"/>
      <c r="F217"/>
      <c r="G217"/>
    </row>
    <row r="218" spans="2:7" x14ac:dyDescent="0.3">
      <c r="B218"/>
      <c r="C218"/>
      <c r="D218"/>
      <c r="E218"/>
      <c r="F218"/>
      <c r="G218"/>
    </row>
    <row r="219" spans="2:7" x14ac:dyDescent="0.3">
      <c r="B219"/>
      <c r="C219"/>
      <c r="D219"/>
      <c r="E219"/>
      <c r="F219"/>
      <c r="G219"/>
    </row>
    <row r="220" spans="2:7" x14ac:dyDescent="0.3">
      <c r="B220"/>
      <c r="C220"/>
      <c r="D220"/>
      <c r="E220"/>
      <c r="F220"/>
      <c r="G220"/>
    </row>
    <row r="221" spans="2:7" x14ac:dyDescent="0.3">
      <c r="B221"/>
      <c r="C221"/>
      <c r="D221"/>
      <c r="E221"/>
      <c r="F221"/>
      <c r="G221"/>
    </row>
    <row r="222" spans="2:7" x14ac:dyDescent="0.3">
      <c r="B222"/>
      <c r="C222"/>
      <c r="D222"/>
      <c r="E222"/>
      <c r="F222"/>
      <c r="G222"/>
    </row>
    <row r="223" spans="2:7" x14ac:dyDescent="0.3">
      <c r="B223"/>
      <c r="C223"/>
      <c r="D223"/>
      <c r="E223"/>
      <c r="F223"/>
      <c r="G223"/>
    </row>
    <row r="224" spans="2:7" x14ac:dyDescent="0.3">
      <c r="B224"/>
      <c r="C224"/>
      <c r="D224"/>
      <c r="E224"/>
      <c r="F224"/>
      <c r="G224"/>
    </row>
    <row r="225" spans="2:7" x14ac:dyDescent="0.3">
      <c r="B225"/>
      <c r="C225"/>
      <c r="D225"/>
      <c r="E225"/>
      <c r="F225"/>
      <c r="G225"/>
    </row>
    <row r="226" spans="2:7" x14ac:dyDescent="0.3">
      <c r="B226"/>
      <c r="C226"/>
      <c r="D226"/>
      <c r="E226"/>
      <c r="F226"/>
      <c r="G226"/>
    </row>
    <row r="227" spans="2:7" x14ac:dyDescent="0.3">
      <c r="B227"/>
      <c r="C227"/>
      <c r="D227"/>
      <c r="E227"/>
      <c r="F227"/>
      <c r="G227"/>
    </row>
    <row r="228" spans="2:7" x14ac:dyDescent="0.3">
      <c r="B228"/>
      <c r="C228"/>
      <c r="D228"/>
      <c r="E228"/>
      <c r="F228"/>
      <c r="G228"/>
    </row>
    <row r="229" spans="2:7" x14ac:dyDescent="0.3">
      <c r="B229"/>
      <c r="C229"/>
      <c r="D229"/>
      <c r="E229"/>
      <c r="F229"/>
      <c r="G229"/>
    </row>
    <row r="230" spans="2:7" x14ac:dyDescent="0.3">
      <c r="B230"/>
      <c r="C230"/>
      <c r="D230"/>
      <c r="E230"/>
      <c r="F230"/>
      <c r="G230"/>
    </row>
    <row r="231" spans="2:7" x14ac:dyDescent="0.3">
      <c r="B231"/>
      <c r="C231"/>
      <c r="D231"/>
      <c r="E231"/>
      <c r="F231"/>
      <c r="G231"/>
    </row>
    <row r="232" spans="2:7" x14ac:dyDescent="0.3">
      <c r="B232"/>
      <c r="C232"/>
      <c r="D232"/>
      <c r="E232"/>
      <c r="F232"/>
      <c r="G232"/>
    </row>
    <row r="233" spans="2:7" x14ac:dyDescent="0.3">
      <c r="B233"/>
      <c r="C233"/>
      <c r="D233"/>
      <c r="E233"/>
      <c r="F233"/>
      <c r="G233"/>
    </row>
    <row r="234" spans="2:7" x14ac:dyDescent="0.3">
      <c r="B234"/>
      <c r="C234"/>
      <c r="D234"/>
      <c r="E234"/>
      <c r="F234"/>
      <c r="G234"/>
    </row>
    <row r="235" spans="2:7" x14ac:dyDescent="0.3">
      <c r="B235"/>
      <c r="C235"/>
      <c r="D235"/>
      <c r="E235"/>
      <c r="F235"/>
      <c r="G235"/>
    </row>
    <row r="236" spans="2:7" x14ac:dyDescent="0.3">
      <c r="B236"/>
      <c r="C236"/>
      <c r="D236"/>
      <c r="E236"/>
      <c r="F236"/>
      <c r="G236"/>
    </row>
    <row r="237" spans="2:7" x14ac:dyDescent="0.3">
      <c r="B237"/>
      <c r="C237"/>
      <c r="D237"/>
      <c r="E237"/>
      <c r="F237"/>
      <c r="G237"/>
    </row>
    <row r="238" spans="2:7" x14ac:dyDescent="0.3">
      <c r="B238"/>
      <c r="C238"/>
      <c r="D238"/>
      <c r="E238"/>
      <c r="F238"/>
      <c r="G238"/>
    </row>
    <row r="239" spans="2:7" x14ac:dyDescent="0.3">
      <c r="B239"/>
      <c r="C239"/>
      <c r="D239"/>
      <c r="E239"/>
      <c r="F239"/>
      <c r="G239"/>
    </row>
    <row r="240" spans="2:7" x14ac:dyDescent="0.3">
      <c r="B240"/>
      <c r="C240"/>
      <c r="D240"/>
      <c r="E240"/>
      <c r="F240"/>
      <c r="G240"/>
    </row>
    <row r="241" spans="2:7" x14ac:dyDescent="0.3">
      <c r="B241"/>
      <c r="C241"/>
      <c r="D241"/>
      <c r="E241"/>
      <c r="F241"/>
      <c r="G241"/>
    </row>
    <row r="242" spans="2:7" x14ac:dyDescent="0.3">
      <c r="B242"/>
      <c r="C242"/>
      <c r="D242"/>
      <c r="E242"/>
      <c r="F242"/>
      <c r="G242"/>
    </row>
    <row r="243" spans="2:7" x14ac:dyDescent="0.3">
      <c r="B243"/>
      <c r="C243"/>
      <c r="D243"/>
      <c r="E243"/>
      <c r="F243"/>
      <c r="G243"/>
    </row>
    <row r="244" spans="2:7" x14ac:dyDescent="0.3">
      <c r="B244"/>
      <c r="C244"/>
      <c r="D244"/>
      <c r="E244"/>
      <c r="F244"/>
      <c r="G244"/>
    </row>
    <row r="245" spans="2:7" x14ac:dyDescent="0.3">
      <c r="B245"/>
      <c r="C245"/>
      <c r="D245"/>
      <c r="E245"/>
      <c r="F245"/>
      <c r="G245"/>
    </row>
    <row r="246" spans="2:7" x14ac:dyDescent="0.3">
      <c r="B246"/>
      <c r="C246"/>
      <c r="D246"/>
      <c r="E246"/>
      <c r="F246"/>
      <c r="G246"/>
    </row>
    <row r="247" spans="2:7" x14ac:dyDescent="0.3">
      <c r="B247"/>
      <c r="C247"/>
      <c r="D247"/>
      <c r="E247"/>
      <c r="F247"/>
      <c r="G247"/>
    </row>
    <row r="248" spans="2:7" x14ac:dyDescent="0.3">
      <c r="B248"/>
      <c r="C248"/>
      <c r="D248"/>
      <c r="E248"/>
      <c r="F248"/>
      <c r="G248"/>
    </row>
    <row r="249" spans="2:7" x14ac:dyDescent="0.3">
      <c r="B249"/>
      <c r="C249"/>
      <c r="D249"/>
      <c r="E249"/>
      <c r="F249"/>
      <c r="G249"/>
    </row>
    <row r="250" spans="2:7" x14ac:dyDescent="0.3">
      <c r="B250"/>
      <c r="C250"/>
      <c r="D250"/>
      <c r="E250"/>
      <c r="F250"/>
      <c r="G250"/>
    </row>
    <row r="251" spans="2:7" x14ac:dyDescent="0.3">
      <c r="B251"/>
      <c r="C251"/>
      <c r="D251"/>
      <c r="E251"/>
      <c r="F251"/>
      <c r="G251"/>
    </row>
    <row r="252" spans="2:7" x14ac:dyDescent="0.3">
      <c r="B252"/>
      <c r="C252"/>
      <c r="D252"/>
      <c r="E252"/>
      <c r="F252"/>
      <c r="G252"/>
    </row>
    <row r="253" spans="2:7" x14ac:dyDescent="0.3">
      <c r="B253"/>
      <c r="C253"/>
      <c r="D253"/>
      <c r="E253"/>
      <c r="F253"/>
      <c r="G253"/>
    </row>
    <row r="254" spans="2:7" x14ac:dyDescent="0.3">
      <c r="B254"/>
      <c r="C254"/>
      <c r="D254"/>
      <c r="E254"/>
      <c r="F254"/>
      <c r="G254"/>
    </row>
    <row r="255" spans="2:7" x14ac:dyDescent="0.3">
      <c r="B255"/>
      <c r="C255"/>
      <c r="D255"/>
      <c r="E255"/>
      <c r="F255"/>
      <c r="G255"/>
    </row>
    <row r="256" spans="2:7" x14ac:dyDescent="0.3">
      <c r="B256"/>
      <c r="C256"/>
      <c r="D256"/>
      <c r="E256"/>
      <c r="F256"/>
      <c r="G256"/>
    </row>
    <row r="257" spans="2:7" x14ac:dyDescent="0.3">
      <c r="B257"/>
      <c r="C257"/>
      <c r="D257"/>
      <c r="E257"/>
      <c r="F257"/>
      <c r="G257"/>
    </row>
    <row r="258" spans="2:7" x14ac:dyDescent="0.3">
      <c r="B258"/>
      <c r="C258"/>
      <c r="D258"/>
      <c r="E258"/>
      <c r="F258"/>
      <c r="G258"/>
    </row>
    <row r="259" spans="2:7" x14ac:dyDescent="0.3">
      <c r="B259"/>
      <c r="C259"/>
      <c r="D259"/>
      <c r="E259"/>
      <c r="F259"/>
      <c r="G259"/>
    </row>
    <row r="260" spans="2:7" x14ac:dyDescent="0.3">
      <c r="B260"/>
      <c r="C260"/>
      <c r="D260"/>
      <c r="E260"/>
      <c r="F260"/>
      <c r="G260"/>
    </row>
    <row r="261" spans="2:7" x14ac:dyDescent="0.3">
      <c r="B261"/>
      <c r="C261"/>
      <c r="D261"/>
      <c r="E261"/>
      <c r="F261"/>
      <c r="G261"/>
    </row>
    <row r="262" spans="2:7" x14ac:dyDescent="0.3">
      <c r="B262"/>
      <c r="C262"/>
      <c r="D262"/>
      <c r="E262"/>
      <c r="F262"/>
      <c r="G262"/>
    </row>
    <row r="263" spans="2:7" x14ac:dyDescent="0.3">
      <c r="B263"/>
      <c r="C263"/>
      <c r="D263"/>
      <c r="E263"/>
      <c r="F263"/>
      <c r="G263"/>
    </row>
    <row r="264" spans="2:7" x14ac:dyDescent="0.3">
      <c r="B264"/>
      <c r="C264"/>
      <c r="D264"/>
      <c r="E264"/>
      <c r="F264"/>
      <c r="G264"/>
    </row>
    <row r="265" spans="2:7" x14ac:dyDescent="0.3">
      <c r="B265"/>
      <c r="C265"/>
      <c r="D265"/>
      <c r="E265"/>
      <c r="F265"/>
      <c r="G265"/>
    </row>
    <row r="266" spans="2:7" x14ac:dyDescent="0.3">
      <c r="B266"/>
      <c r="C266"/>
      <c r="D266"/>
      <c r="E266"/>
      <c r="F266"/>
      <c r="G266"/>
    </row>
    <row r="267" spans="2:7" x14ac:dyDescent="0.3">
      <c r="B267"/>
      <c r="C267"/>
      <c r="D267"/>
      <c r="E267"/>
      <c r="F267"/>
      <c r="G267"/>
    </row>
    <row r="268" spans="2:7" x14ac:dyDescent="0.3">
      <c r="B268"/>
      <c r="C268"/>
      <c r="D268"/>
      <c r="E268"/>
      <c r="F268"/>
      <c r="G268"/>
    </row>
    <row r="269" spans="2:7" x14ac:dyDescent="0.3">
      <c r="B269"/>
      <c r="C269"/>
      <c r="D269"/>
      <c r="E269"/>
      <c r="F269"/>
      <c r="G269"/>
    </row>
    <row r="270" spans="2:7" x14ac:dyDescent="0.3">
      <c r="B270"/>
      <c r="C270"/>
      <c r="D270"/>
      <c r="E270"/>
      <c r="F270"/>
      <c r="G270"/>
    </row>
    <row r="271" spans="2:7" x14ac:dyDescent="0.3">
      <c r="B271"/>
      <c r="C271"/>
      <c r="D271"/>
      <c r="E271"/>
      <c r="F271"/>
      <c r="G271"/>
    </row>
    <row r="272" spans="2:7" x14ac:dyDescent="0.3">
      <c r="B272"/>
      <c r="C272"/>
      <c r="D272"/>
      <c r="E272"/>
      <c r="F272"/>
      <c r="G272"/>
    </row>
    <row r="273" spans="2:7" x14ac:dyDescent="0.3">
      <c r="B273"/>
      <c r="C273"/>
      <c r="D273"/>
      <c r="E273"/>
      <c r="F273"/>
      <c r="G273"/>
    </row>
    <row r="274" spans="2:7" x14ac:dyDescent="0.3">
      <c r="B274"/>
      <c r="C274"/>
      <c r="D274"/>
      <c r="E274"/>
      <c r="F274"/>
      <c r="G274"/>
    </row>
    <row r="275" spans="2:7" x14ac:dyDescent="0.3">
      <c r="B275"/>
      <c r="C275"/>
      <c r="D275"/>
      <c r="E275"/>
      <c r="F275"/>
      <c r="G275"/>
    </row>
    <row r="276" spans="2:7" x14ac:dyDescent="0.3">
      <c r="B276"/>
      <c r="C276"/>
      <c r="D276"/>
      <c r="E276"/>
      <c r="F276"/>
      <c r="G276"/>
    </row>
    <row r="277" spans="2:7" x14ac:dyDescent="0.3">
      <c r="B277"/>
      <c r="C277"/>
      <c r="D277"/>
      <c r="E277"/>
      <c r="F277"/>
      <c r="G277"/>
    </row>
    <row r="278" spans="2:7" x14ac:dyDescent="0.3">
      <c r="B278"/>
      <c r="C278"/>
      <c r="D278"/>
      <c r="E278"/>
      <c r="F278"/>
      <c r="G278"/>
    </row>
    <row r="279" spans="2:7" x14ac:dyDescent="0.3">
      <c r="B279"/>
      <c r="C279"/>
      <c r="D279"/>
      <c r="E279"/>
      <c r="F279"/>
      <c r="G279"/>
    </row>
    <row r="280" spans="2:7" x14ac:dyDescent="0.3">
      <c r="B280"/>
      <c r="C280"/>
      <c r="D280"/>
      <c r="E280"/>
      <c r="F280"/>
      <c r="G280"/>
    </row>
    <row r="281" spans="2:7" x14ac:dyDescent="0.3">
      <c r="B281"/>
      <c r="C281"/>
      <c r="D281"/>
      <c r="E281"/>
      <c r="F281"/>
      <c r="G281"/>
    </row>
    <row r="282" spans="2:7" x14ac:dyDescent="0.3">
      <c r="B282"/>
      <c r="C282"/>
      <c r="D282"/>
      <c r="E282"/>
      <c r="F282"/>
      <c r="G282"/>
    </row>
    <row r="283" spans="2:7" x14ac:dyDescent="0.3">
      <c r="B283"/>
      <c r="C283"/>
      <c r="D283"/>
      <c r="E283"/>
      <c r="F283"/>
      <c r="G283"/>
    </row>
    <row r="284" spans="2:7" x14ac:dyDescent="0.3">
      <c r="B284"/>
      <c r="C284"/>
      <c r="D284"/>
      <c r="E284"/>
      <c r="F284"/>
      <c r="G284"/>
    </row>
    <row r="285" spans="2:7" x14ac:dyDescent="0.3">
      <c r="B285"/>
      <c r="C285"/>
      <c r="D285"/>
      <c r="E285"/>
      <c r="F285"/>
      <c r="G285"/>
    </row>
    <row r="286" spans="2:7" x14ac:dyDescent="0.3">
      <c r="B286"/>
      <c r="C286"/>
      <c r="D286"/>
      <c r="E286"/>
      <c r="F286"/>
      <c r="G286"/>
    </row>
    <row r="287" spans="2:7" x14ac:dyDescent="0.3">
      <c r="B287"/>
      <c r="C287"/>
      <c r="D287"/>
      <c r="E287"/>
      <c r="F287"/>
      <c r="G287"/>
    </row>
    <row r="288" spans="2:7" x14ac:dyDescent="0.3">
      <c r="B288"/>
      <c r="C288"/>
      <c r="D288"/>
      <c r="E288"/>
      <c r="F288"/>
      <c r="G288"/>
    </row>
    <row r="289" spans="2:7" x14ac:dyDescent="0.3">
      <c r="B289"/>
      <c r="C289"/>
      <c r="D289"/>
      <c r="E289"/>
      <c r="F289"/>
      <c r="G289"/>
    </row>
    <row r="290" spans="2:7" x14ac:dyDescent="0.3">
      <c r="B290"/>
      <c r="C290"/>
      <c r="D290"/>
      <c r="E290"/>
      <c r="F290"/>
      <c r="G290"/>
    </row>
    <row r="291" spans="2:7" x14ac:dyDescent="0.3">
      <c r="B291"/>
      <c r="C291"/>
      <c r="D291"/>
      <c r="E291"/>
      <c r="F291"/>
      <c r="G291"/>
    </row>
    <row r="292" spans="2:7" x14ac:dyDescent="0.3">
      <c r="B292"/>
      <c r="C292"/>
      <c r="D292"/>
      <c r="E292"/>
      <c r="F292"/>
      <c r="G292"/>
    </row>
    <row r="293" spans="2:7" x14ac:dyDescent="0.3">
      <c r="B293"/>
      <c r="C293"/>
      <c r="D293"/>
      <c r="E293"/>
      <c r="F293"/>
      <c r="G293"/>
    </row>
    <row r="294" spans="2:7" x14ac:dyDescent="0.3">
      <c r="B294"/>
      <c r="C294"/>
      <c r="D294"/>
      <c r="E294"/>
      <c r="F294"/>
      <c r="G294"/>
    </row>
    <row r="295" spans="2:7" x14ac:dyDescent="0.3">
      <c r="B295"/>
      <c r="C295"/>
      <c r="D295"/>
      <c r="E295"/>
      <c r="F295"/>
      <c r="G295"/>
    </row>
    <row r="296" spans="2:7" x14ac:dyDescent="0.3">
      <c r="B296"/>
      <c r="C296"/>
      <c r="D296"/>
      <c r="E296"/>
      <c r="F296"/>
      <c r="G296"/>
    </row>
    <row r="297" spans="2:7" x14ac:dyDescent="0.3">
      <c r="B297"/>
      <c r="C297"/>
      <c r="D297"/>
      <c r="E297"/>
      <c r="F297"/>
      <c r="G297"/>
    </row>
    <row r="298" spans="2:7" x14ac:dyDescent="0.3">
      <c r="B298"/>
      <c r="C298"/>
      <c r="D298"/>
      <c r="E298"/>
      <c r="F298"/>
      <c r="G298"/>
    </row>
    <row r="299" spans="2:7" x14ac:dyDescent="0.3">
      <c r="B299"/>
      <c r="C299"/>
      <c r="D299"/>
      <c r="E299"/>
      <c r="F299"/>
      <c r="G299"/>
    </row>
    <row r="300" spans="2:7" x14ac:dyDescent="0.3">
      <c r="B300"/>
      <c r="C300"/>
      <c r="D300"/>
      <c r="E300"/>
      <c r="F300"/>
      <c r="G300"/>
    </row>
    <row r="301" spans="2:7" x14ac:dyDescent="0.3">
      <c r="B301"/>
      <c r="C301"/>
      <c r="D301"/>
      <c r="E301"/>
      <c r="F301"/>
      <c r="G301"/>
    </row>
    <row r="302" spans="2:7" x14ac:dyDescent="0.3">
      <c r="B302"/>
      <c r="C302"/>
      <c r="D302"/>
      <c r="E302"/>
      <c r="F302"/>
      <c r="G302"/>
    </row>
    <row r="303" spans="2:7" x14ac:dyDescent="0.3">
      <c r="B303"/>
      <c r="C303"/>
      <c r="D303"/>
      <c r="E303"/>
      <c r="F303"/>
      <c r="G303"/>
    </row>
    <row r="304" spans="2:7" x14ac:dyDescent="0.3">
      <c r="B304"/>
      <c r="C304"/>
      <c r="D304"/>
      <c r="E304"/>
      <c r="F304"/>
      <c r="G304"/>
    </row>
    <row r="305" spans="2:7" x14ac:dyDescent="0.3">
      <c r="B305"/>
      <c r="C305"/>
      <c r="D305"/>
      <c r="E305"/>
      <c r="F305"/>
      <c r="G305"/>
    </row>
    <row r="306" spans="2:7" x14ac:dyDescent="0.3">
      <c r="B306"/>
      <c r="C306"/>
      <c r="D306"/>
      <c r="E306"/>
      <c r="F306"/>
      <c r="G306"/>
    </row>
    <row r="307" spans="2:7" x14ac:dyDescent="0.3">
      <c r="B307"/>
      <c r="C307"/>
      <c r="D307"/>
      <c r="E307"/>
      <c r="F307"/>
      <c r="G307"/>
    </row>
    <row r="308" spans="2:7" x14ac:dyDescent="0.3">
      <c r="B308"/>
      <c r="C308"/>
      <c r="D308"/>
      <c r="E308"/>
      <c r="F308"/>
      <c r="G308"/>
    </row>
    <row r="309" spans="2:7" x14ac:dyDescent="0.3">
      <c r="B309"/>
      <c r="C309"/>
      <c r="D309"/>
      <c r="E309"/>
      <c r="F309"/>
      <c r="G309"/>
    </row>
    <row r="310" spans="2:7" x14ac:dyDescent="0.3">
      <c r="B310"/>
      <c r="C310"/>
      <c r="D310"/>
      <c r="E310"/>
      <c r="F310"/>
      <c r="G310"/>
    </row>
    <row r="311" spans="2:7" x14ac:dyDescent="0.3">
      <c r="B311"/>
      <c r="C311"/>
      <c r="D311"/>
      <c r="E311"/>
      <c r="F311"/>
      <c r="G311"/>
    </row>
    <row r="312" spans="2:7" x14ac:dyDescent="0.3">
      <c r="B312"/>
      <c r="C312"/>
      <c r="D312"/>
      <c r="E312"/>
      <c r="F312"/>
      <c r="G312"/>
    </row>
    <row r="313" spans="2:7" x14ac:dyDescent="0.3">
      <c r="B313"/>
      <c r="C313"/>
      <c r="D313"/>
      <c r="E313"/>
      <c r="F313"/>
      <c r="G313"/>
    </row>
    <row r="314" spans="2:7" x14ac:dyDescent="0.3">
      <c r="B314"/>
      <c r="C314"/>
      <c r="D314"/>
      <c r="E314"/>
      <c r="F314"/>
      <c r="G314"/>
    </row>
    <row r="315" spans="2:7" x14ac:dyDescent="0.3">
      <c r="B315"/>
      <c r="C315"/>
      <c r="D315"/>
      <c r="E315"/>
      <c r="F315"/>
    </row>
    <row r="316" spans="2:7" x14ac:dyDescent="0.3">
      <c r="B316"/>
      <c r="C316"/>
      <c r="D316"/>
      <c r="E316"/>
      <c r="F316"/>
    </row>
    <row r="317" spans="2:7" x14ac:dyDescent="0.3">
      <c r="B317"/>
      <c r="C317"/>
      <c r="D317"/>
      <c r="E317"/>
      <c r="F317"/>
    </row>
    <row r="318" spans="2:7" x14ac:dyDescent="0.3">
      <c r="B318"/>
      <c r="C318"/>
      <c r="D318"/>
      <c r="E318"/>
      <c r="F318"/>
    </row>
    <row r="319" spans="2:7" x14ac:dyDescent="0.3">
      <c r="B319"/>
      <c r="C319"/>
      <c r="D319"/>
      <c r="E319"/>
      <c r="F319"/>
    </row>
    <row r="320" spans="2:7" x14ac:dyDescent="0.3">
      <c r="B320"/>
      <c r="C320"/>
      <c r="D320"/>
      <c r="E320"/>
      <c r="F320"/>
    </row>
    <row r="321" spans="2:6" x14ac:dyDescent="0.3">
      <c r="B321"/>
      <c r="C321"/>
      <c r="D321"/>
      <c r="E321"/>
      <c r="F321"/>
    </row>
    <row r="322" spans="2:6" x14ac:dyDescent="0.3">
      <c r="B322"/>
      <c r="C322"/>
      <c r="D322"/>
      <c r="E322"/>
      <c r="F322"/>
    </row>
    <row r="323" spans="2:6" x14ac:dyDescent="0.3">
      <c r="B323"/>
      <c r="C323"/>
      <c r="D323"/>
      <c r="E323"/>
      <c r="F323"/>
    </row>
    <row r="324" spans="2:6" x14ac:dyDescent="0.3">
      <c r="B324"/>
      <c r="C324"/>
      <c r="D324"/>
      <c r="E324"/>
      <c r="F324"/>
    </row>
    <row r="325" spans="2:6" x14ac:dyDescent="0.3">
      <c r="B325"/>
      <c r="C325"/>
      <c r="D325"/>
      <c r="E325"/>
      <c r="F325"/>
    </row>
    <row r="326" spans="2:6" x14ac:dyDescent="0.3">
      <c r="B326"/>
      <c r="C326"/>
      <c r="D326"/>
      <c r="E326"/>
      <c r="F326"/>
    </row>
    <row r="327" spans="2:6" x14ac:dyDescent="0.3">
      <c r="B327"/>
      <c r="C327"/>
      <c r="D327"/>
      <c r="E327"/>
      <c r="F327"/>
    </row>
    <row r="328" spans="2:6" x14ac:dyDescent="0.3">
      <c r="B328"/>
      <c r="C328"/>
      <c r="D328"/>
      <c r="E328"/>
      <c r="F328"/>
    </row>
    <row r="329" spans="2:6" x14ac:dyDescent="0.3">
      <c r="B329"/>
      <c r="C329"/>
      <c r="D329"/>
      <c r="E329"/>
      <c r="F329"/>
    </row>
    <row r="330" spans="2:6" x14ac:dyDescent="0.3">
      <c r="B330"/>
      <c r="C330"/>
      <c r="D330"/>
      <c r="E330"/>
      <c r="F330"/>
    </row>
    <row r="331" spans="2:6" x14ac:dyDescent="0.3">
      <c r="B331"/>
      <c r="C331"/>
      <c r="D331"/>
      <c r="E331"/>
      <c r="F331"/>
    </row>
    <row r="332" spans="2:6" x14ac:dyDescent="0.3">
      <c r="B332"/>
      <c r="C332"/>
      <c r="D332"/>
      <c r="E332"/>
      <c r="F332"/>
    </row>
    <row r="333" spans="2:6" x14ac:dyDescent="0.3">
      <c r="B333"/>
      <c r="C333"/>
      <c r="D333"/>
      <c r="E333"/>
      <c r="F333"/>
    </row>
    <row r="334" spans="2:6" x14ac:dyDescent="0.3">
      <c r="B334"/>
      <c r="C334"/>
      <c r="D334"/>
      <c r="E334"/>
      <c r="F334"/>
    </row>
    <row r="335" spans="2:6" x14ac:dyDescent="0.3">
      <c r="B335"/>
      <c r="C335"/>
      <c r="D335"/>
      <c r="E335"/>
      <c r="F335"/>
    </row>
    <row r="336" spans="2:6" x14ac:dyDescent="0.3">
      <c r="B336"/>
      <c r="C336"/>
      <c r="D336"/>
      <c r="E336"/>
      <c r="F336"/>
    </row>
    <row r="337" spans="2:6" x14ac:dyDescent="0.3">
      <c r="B337"/>
      <c r="C337"/>
      <c r="D337"/>
      <c r="E337"/>
      <c r="F337"/>
    </row>
    <row r="338" spans="2:6" x14ac:dyDescent="0.3">
      <c r="B338"/>
      <c r="C338"/>
      <c r="D338"/>
      <c r="E338"/>
      <c r="F338"/>
    </row>
    <row r="339" spans="2:6" x14ac:dyDescent="0.3">
      <c r="B339"/>
      <c r="C339"/>
      <c r="D339"/>
      <c r="E339"/>
      <c r="F339"/>
    </row>
    <row r="340" spans="2:6" x14ac:dyDescent="0.3">
      <c r="B340"/>
      <c r="C340"/>
      <c r="D340"/>
      <c r="E340"/>
      <c r="F340"/>
    </row>
    <row r="341" spans="2:6" x14ac:dyDescent="0.3">
      <c r="B341"/>
      <c r="C341"/>
      <c r="D341"/>
      <c r="E341"/>
      <c r="F341"/>
    </row>
    <row r="342" spans="2:6" x14ac:dyDescent="0.3">
      <c r="B342"/>
      <c r="C342"/>
      <c r="D342"/>
      <c r="E342"/>
      <c r="F342"/>
    </row>
    <row r="343" spans="2:6" x14ac:dyDescent="0.3">
      <c r="B343"/>
      <c r="C343"/>
      <c r="D343"/>
      <c r="E343"/>
      <c r="F343"/>
    </row>
    <row r="344" spans="2:6" x14ac:dyDescent="0.3">
      <c r="B344"/>
      <c r="C344"/>
      <c r="D344"/>
      <c r="E344"/>
      <c r="F344"/>
    </row>
    <row r="345" spans="2:6" x14ac:dyDescent="0.3">
      <c r="B345"/>
      <c r="C345"/>
      <c r="D345"/>
      <c r="E345"/>
      <c r="F345"/>
    </row>
    <row r="346" spans="2:6" x14ac:dyDescent="0.3">
      <c r="B346"/>
      <c r="C346"/>
      <c r="D346"/>
      <c r="E346"/>
      <c r="F346"/>
    </row>
    <row r="347" spans="2:6" x14ac:dyDescent="0.3">
      <c r="B347"/>
      <c r="C347"/>
      <c r="D347"/>
      <c r="E347"/>
      <c r="F347"/>
    </row>
    <row r="348" spans="2:6" x14ac:dyDescent="0.3">
      <c r="B348"/>
      <c r="C348"/>
      <c r="D348"/>
      <c r="E348"/>
      <c r="F348"/>
    </row>
    <row r="349" spans="2:6" x14ac:dyDescent="0.3">
      <c r="B349"/>
      <c r="C349"/>
      <c r="D349"/>
      <c r="E349"/>
      <c r="F349"/>
    </row>
    <row r="350" spans="2:6" x14ac:dyDescent="0.3">
      <c r="B350"/>
      <c r="C350"/>
      <c r="D350"/>
      <c r="E350"/>
      <c r="F350"/>
    </row>
    <row r="351" spans="2:6" x14ac:dyDescent="0.3">
      <c r="B351"/>
      <c r="C351"/>
      <c r="D351"/>
      <c r="E351"/>
      <c r="F351"/>
    </row>
    <row r="352" spans="2:6" x14ac:dyDescent="0.3">
      <c r="B352"/>
      <c r="C352"/>
      <c r="D352"/>
      <c r="E352"/>
      <c r="F352"/>
    </row>
    <row r="353" spans="2:6" x14ac:dyDescent="0.3">
      <c r="B353"/>
      <c r="C353"/>
      <c r="D353"/>
      <c r="E353"/>
      <c r="F353"/>
    </row>
    <row r="354" spans="2:6" x14ac:dyDescent="0.3">
      <c r="B354"/>
      <c r="C354"/>
      <c r="D354"/>
      <c r="E354"/>
      <c r="F354"/>
    </row>
    <row r="355" spans="2:6" x14ac:dyDescent="0.3">
      <c r="B355"/>
      <c r="C355"/>
      <c r="D355"/>
      <c r="E355"/>
      <c r="F355"/>
    </row>
    <row r="356" spans="2:6" x14ac:dyDescent="0.3">
      <c r="B356"/>
      <c r="C356"/>
      <c r="D356"/>
      <c r="E356"/>
      <c r="F356"/>
    </row>
    <row r="357" spans="2:6" x14ac:dyDescent="0.3">
      <c r="B357"/>
      <c r="C357"/>
      <c r="D357"/>
      <c r="E357"/>
      <c r="F357"/>
    </row>
    <row r="358" spans="2:6" x14ac:dyDescent="0.3">
      <c r="B358"/>
      <c r="C358"/>
      <c r="D358"/>
      <c r="E358"/>
      <c r="F358"/>
    </row>
    <row r="359" spans="2:6" x14ac:dyDescent="0.3">
      <c r="B359"/>
      <c r="C359"/>
      <c r="D359"/>
      <c r="E359"/>
      <c r="F359"/>
    </row>
    <row r="360" spans="2:6" x14ac:dyDescent="0.3">
      <c r="B360"/>
      <c r="C360"/>
      <c r="D360"/>
      <c r="E360"/>
      <c r="F360"/>
    </row>
    <row r="361" spans="2:6" x14ac:dyDescent="0.3">
      <c r="B361"/>
      <c r="C361"/>
      <c r="D361"/>
      <c r="E361"/>
      <c r="F361"/>
    </row>
    <row r="362" spans="2:6" x14ac:dyDescent="0.3">
      <c r="B362"/>
      <c r="C362"/>
      <c r="D362"/>
      <c r="E362"/>
      <c r="F362"/>
    </row>
    <row r="363" spans="2:6" x14ac:dyDescent="0.3">
      <c r="B363"/>
      <c r="C363"/>
      <c r="D363"/>
      <c r="E363"/>
      <c r="F363"/>
    </row>
    <row r="364" spans="2:6" x14ac:dyDescent="0.3">
      <c r="B364"/>
      <c r="C364"/>
      <c r="D364"/>
      <c r="E364"/>
      <c r="F364"/>
    </row>
    <row r="365" spans="2:6" x14ac:dyDescent="0.3">
      <c r="B365"/>
      <c r="C365"/>
      <c r="D365"/>
      <c r="E365"/>
      <c r="F365"/>
    </row>
    <row r="366" spans="2:6" x14ac:dyDescent="0.3">
      <c r="B366"/>
      <c r="C366"/>
      <c r="D366"/>
      <c r="E366"/>
      <c r="F366"/>
    </row>
    <row r="367" spans="2:6" x14ac:dyDescent="0.3">
      <c r="B367"/>
      <c r="C367"/>
      <c r="D367"/>
      <c r="E367"/>
      <c r="F367"/>
    </row>
    <row r="368" spans="2:6" x14ac:dyDescent="0.3">
      <c r="B368"/>
      <c r="C368"/>
      <c r="D368"/>
      <c r="E368"/>
      <c r="F368"/>
    </row>
    <row r="369" spans="2:6" x14ac:dyDescent="0.3">
      <c r="B369"/>
      <c r="C369"/>
      <c r="D369"/>
      <c r="E369"/>
      <c r="F369"/>
    </row>
    <row r="370" spans="2:6" x14ac:dyDescent="0.3">
      <c r="B370"/>
      <c r="C370"/>
      <c r="D370"/>
      <c r="E370"/>
      <c r="F370"/>
    </row>
    <row r="371" spans="2:6" x14ac:dyDescent="0.3">
      <c r="B371"/>
      <c r="C371"/>
      <c r="D371"/>
      <c r="E371"/>
      <c r="F371"/>
    </row>
    <row r="372" spans="2:6" x14ac:dyDescent="0.3">
      <c r="B372"/>
      <c r="C372"/>
      <c r="D372"/>
      <c r="E372"/>
      <c r="F372"/>
    </row>
    <row r="373" spans="2:6" x14ac:dyDescent="0.3">
      <c r="B373"/>
      <c r="C373"/>
      <c r="D373"/>
      <c r="E373"/>
      <c r="F373"/>
    </row>
    <row r="374" spans="2:6" x14ac:dyDescent="0.3">
      <c r="B374"/>
      <c r="C374"/>
      <c r="D374"/>
      <c r="E374"/>
      <c r="F374"/>
    </row>
    <row r="375" spans="2:6" x14ac:dyDescent="0.3">
      <c r="B375"/>
      <c r="C375"/>
      <c r="D375"/>
      <c r="E375"/>
      <c r="F375"/>
    </row>
    <row r="376" spans="2:6" x14ac:dyDescent="0.3">
      <c r="B376"/>
      <c r="C376"/>
      <c r="D376"/>
      <c r="E376"/>
      <c r="F376"/>
    </row>
    <row r="377" spans="2:6" x14ac:dyDescent="0.3">
      <c r="B377"/>
      <c r="C377"/>
      <c r="D377"/>
      <c r="E377"/>
      <c r="F377"/>
    </row>
    <row r="378" spans="2:6" x14ac:dyDescent="0.3">
      <c r="B378"/>
      <c r="C378"/>
      <c r="D378"/>
      <c r="E378"/>
      <c r="F378"/>
    </row>
    <row r="379" spans="2:6" x14ac:dyDescent="0.3">
      <c r="B379"/>
      <c r="C379"/>
      <c r="D379"/>
      <c r="E379"/>
      <c r="F379"/>
    </row>
    <row r="380" spans="2:6" x14ac:dyDescent="0.3">
      <c r="B380"/>
      <c r="C380"/>
      <c r="D380"/>
      <c r="E380"/>
      <c r="F380"/>
    </row>
    <row r="381" spans="2:6" x14ac:dyDescent="0.3">
      <c r="B381"/>
      <c r="C381"/>
      <c r="D381"/>
      <c r="E381"/>
      <c r="F381"/>
    </row>
    <row r="382" spans="2:6" x14ac:dyDescent="0.3">
      <c r="B382"/>
      <c r="C382"/>
      <c r="D382"/>
      <c r="E382"/>
      <c r="F382"/>
    </row>
    <row r="383" spans="2:6" x14ac:dyDescent="0.3">
      <c r="B383"/>
      <c r="C383"/>
      <c r="D383"/>
      <c r="E383"/>
      <c r="F383"/>
    </row>
    <row r="384" spans="2:6" x14ac:dyDescent="0.3">
      <c r="B384"/>
      <c r="C384"/>
      <c r="D384"/>
      <c r="E384"/>
      <c r="F384"/>
    </row>
    <row r="385" spans="2:6" x14ac:dyDescent="0.3">
      <c r="B385"/>
      <c r="C385"/>
      <c r="D385"/>
      <c r="E385"/>
      <c r="F385"/>
    </row>
    <row r="386" spans="2:6" x14ac:dyDescent="0.3">
      <c r="B386"/>
      <c r="C386"/>
      <c r="D386"/>
      <c r="E386"/>
      <c r="F386"/>
    </row>
    <row r="387" spans="2:6" x14ac:dyDescent="0.3">
      <c r="B387"/>
      <c r="C387"/>
      <c r="D387"/>
      <c r="E387"/>
      <c r="F387"/>
    </row>
    <row r="388" spans="2:6" x14ac:dyDescent="0.3">
      <c r="B388"/>
      <c r="C388"/>
      <c r="D388"/>
      <c r="E388"/>
      <c r="F388"/>
    </row>
    <row r="389" spans="2:6" x14ac:dyDescent="0.3">
      <c r="B389"/>
      <c r="C389"/>
      <c r="D389"/>
      <c r="E389"/>
      <c r="F389"/>
    </row>
    <row r="390" spans="2:6" x14ac:dyDescent="0.3">
      <c r="B390"/>
      <c r="C390"/>
      <c r="D390"/>
      <c r="E390"/>
      <c r="F390"/>
    </row>
    <row r="391" spans="2:6" x14ac:dyDescent="0.3">
      <c r="B391"/>
      <c r="C391"/>
      <c r="D391"/>
      <c r="E391"/>
      <c r="F391"/>
    </row>
    <row r="392" spans="2:6" x14ac:dyDescent="0.3">
      <c r="B392"/>
      <c r="C392"/>
      <c r="D392"/>
      <c r="E392"/>
      <c r="F392"/>
    </row>
    <row r="393" spans="2:6" x14ac:dyDescent="0.3">
      <c r="B393"/>
      <c r="C393"/>
      <c r="D393"/>
      <c r="E393"/>
      <c r="F393"/>
    </row>
    <row r="394" spans="2:6" x14ac:dyDescent="0.3">
      <c r="B394"/>
      <c r="C394"/>
      <c r="D394"/>
      <c r="E394"/>
      <c r="F394"/>
    </row>
    <row r="395" spans="2:6" x14ac:dyDescent="0.3">
      <c r="B395"/>
      <c r="C395"/>
      <c r="D395"/>
      <c r="E395"/>
      <c r="F395"/>
    </row>
  </sheetData>
  <sheetProtection pivotTables="0"/>
  <pageMargins left="0.39370078740157483" right="0.39370078740157483" top="0.39370078740157483" bottom="0.39370078740157483" header="0" footer="0"/>
  <pageSetup paperSize="9" scale="92" fitToHeight="0" orientation="portrait" r:id="rId2"/>
  <headerFooter scaleWithDoc="0">
    <oddFooter>&amp;L&amp;G&amp;C&amp;"-,Obyčejné"&amp;8&amp;K00-049Tisk: &amp;D &amp;T&amp;R&amp;"-,Obyčejné"&amp;8&amp;K00-049&amp;F</oddFooter>
  </headerFooter>
  <drawing r:id="rId3"/>
  <legacyDrawingHF r:id="rId4"/>
  <extLst>
    <ext xmlns:x14="http://schemas.microsoft.com/office/spreadsheetml/2009/9/main" uri="{A8765BA9-456A-4dab-B4F3-ACF838C121DE}">
      <x14:slicerList>
        <x14:slicer r:id="rId5"/>
      </x14:slicerList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B6:G435"/>
  <sheetViews>
    <sheetView showGridLines="0" workbookViewId="0">
      <pane ySplit="7" topLeftCell="A8" activePane="bottomLeft" state="frozen"/>
      <selection activeCell="F11" sqref="F11"/>
      <selection pane="bottomLeft" activeCell="E13" sqref="E13"/>
    </sheetView>
  </sheetViews>
  <sheetFormatPr defaultColWidth="9.109375" defaultRowHeight="13.8" x14ac:dyDescent="0.3"/>
  <cols>
    <col min="1" max="1" width="1.109375" style="10" customWidth="1"/>
    <col min="2" max="2" width="17.88671875" style="10" customWidth="1"/>
    <col min="3" max="3" width="18.6640625" style="10" customWidth="1"/>
    <col min="4" max="4" width="7.44140625" style="172" customWidth="1"/>
    <col min="5" max="5" width="40.88671875" style="10" customWidth="1"/>
    <col min="6" max="7" width="15.6640625" style="10" customWidth="1"/>
    <col min="8" max="16384" width="9.109375" style="10"/>
  </cols>
  <sheetData>
    <row r="6" spans="2:7" x14ac:dyDescent="0.3">
      <c r="B6" s="664" t="s">
        <v>709</v>
      </c>
      <c r="C6" s="665"/>
      <c r="D6" s="665"/>
      <c r="E6" s="665"/>
      <c r="F6" s="664" t="s">
        <v>229</v>
      </c>
      <c r="G6"/>
    </row>
    <row r="7" spans="2:7" x14ac:dyDescent="0.3">
      <c r="B7" s="664" t="s">
        <v>233</v>
      </c>
      <c r="C7" s="664" t="s">
        <v>531</v>
      </c>
      <c r="D7" s="671" t="s">
        <v>315</v>
      </c>
      <c r="E7" s="664" t="s">
        <v>228</v>
      </c>
      <c r="F7" s="666" t="s">
        <v>611</v>
      </c>
      <c r="G7"/>
    </row>
    <row r="8" spans="2:7" x14ac:dyDescent="0.3">
      <c r="B8" s="665" t="s">
        <v>622</v>
      </c>
      <c r="C8" s="665"/>
      <c r="D8" s="665"/>
      <c r="E8" s="665"/>
      <c r="F8" s="668"/>
      <c r="G8"/>
    </row>
    <row r="9" spans="2:7" x14ac:dyDescent="0.3">
      <c r="B9"/>
      <c r="C9"/>
      <c r="D9"/>
      <c r="E9"/>
      <c r="F9"/>
      <c r="G9"/>
    </row>
    <row r="10" spans="2:7" x14ac:dyDescent="0.3">
      <c r="B10"/>
      <c r="C10"/>
      <c r="D10"/>
      <c r="E10"/>
      <c r="F10"/>
      <c r="G10"/>
    </row>
    <row r="11" spans="2:7" x14ac:dyDescent="0.3">
      <c r="B11"/>
      <c r="C11"/>
      <c r="D11"/>
      <c r="E11"/>
      <c r="F11"/>
      <c r="G11"/>
    </row>
    <row r="12" spans="2:7" x14ac:dyDescent="0.3">
      <c r="B12"/>
      <c r="C12"/>
      <c r="D12"/>
      <c r="E12"/>
      <c r="F12"/>
      <c r="G12"/>
    </row>
    <row r="13" spans="2:7" x14ac:dyDescent="0.3">
      <c r="B13"/>
      <c r="C13"/>
      <c r="D13"/>
      <c r="E13"/>
      <c r="F13"/>
      <c r="G13"/>
    </row>
    <row r="14" spans="2:7" x14ac:dyDescent="0.3">
      <c r="B14"/>
      <c r="C14"/>
      <c r="D14"/>
      <c r="E14"/>
      <c r="F14"/>
      <c r="G14"/>
    </row>
    <row r="15" spans="2:7" x14ac:dyDescent="0.3">
      <c r="B15"/>
      <c r="C15"/>
      <c r="D15"/>
      <c r="E15"/>
      <c r="F15"/>
      <c r="G15"/>
    </row>
    <row r="16" spans="2:7" x14ac:dyDescent="0.3">
      <c r="B16"/>
      <c r="C16"/>
      <c r="D16"/>
      <c r="E16"/>
      <c r="F16"/>
      <c r="G16"/>
    </row>
    <row r="17" spans="2:7" x14ac:dyDescent="0.3">
      <c r="B17"/>
      <c r="C17"/>
      <c r="D17"/>
      <c r="E17"/>
      <c r="F17"/>
      <c r="G17"/>
    </row>
    <row r="18" spans="2:7" x14ac:dyDescent="0.3">
      <c r="B18"/>
      <c r="C18"/>
      <c r="D18"/>
      <c r="E18"/>
      <c r="F18"/>
      <c r="G18"/>
    </row>
    <row r="19" spans="2:7" x14ac:dyDescent="0.3">
      <c r="B19"/>
      <c r="C19"/>
      <c r="D19"/>
      <c r="E19"/>
      <c r="F19"/>
      <c r="G19"/>
    </row>
    <row r="20" spans="2:7" x14ac:dyDescent="0.3">
      <c r="B20"/>
      <c r="C20"/>
      <c r="D20"/>
      <c r="E20"/>
      <c r="F20"/>
      <c r="G20"/>
    </row>
    <row r="21" spans="2:7" x14ac:dyDescent="0.3">
      <c r="B21"/>
      <c r="C21"/>
      <c r="D21"/>
      <c r="E21"/>
      <c r="F21"/>
      <c r="G21"/>
    </row>
    <row r="22" spans="2:7" x14ac:dyDescent="0.3">
      <c r="B22"/>
      <c r="C22"/>
      <c r="D22"/>
      <c r="E22"/>
      <c r="F22"/>
      <c r="G22"/>
    </row>
    <row r="23" spans="2:7" x14ac:dyDescent="0.3">
      <c r="B23"/>
      <c r="C23"/>
      <c r="D23"/>
      <c r="E23"/>
      <c r="F23"/>
      <c r="G23"/>
    </row>
    <row r="24" spans="2:7" x14ac:dyDescent="0.3">
      <c r="B24"/>
      <c r="C24"/>
      <c r="D24"/>
      <c r="E24"/>
      <c r="F24"/>
      <c r="G24"/>
    </row>
    <row r="25" spans="2:7" x14ac:dyDescent="0.3">
      <c r="B25"/>
      <c r="C25"/>
      <c r="D25"/>
      <c r="E25"/>
      <c r="F25"/>
      <c r="G25"/>
    </row>
    <row r="26" spans="2:7" x14ac:dyDescent="0.3">
      <c r="B26"/>
      <c r="C26"/>
      <c r="D26"/>
      <c r="E26"/>
      <c r="F26"/>
      <c r="G26"/>
    </row>
    <row r="27" spans="2:7" x14ac:dyDescent="0.3">
      <c r="B27"/>
      <c r="C27"/>
      <c r="D27"/>
      <c r="E27"/>
      <c r="F27"/>
      <c r="G27"/>
    </row>
    <row r="28" spans="2:7" x14ac:dyDescent="0.3">
      <c r="B28"/>
      <c r="C28"/>
      <c r="D28"/>
      <c r="E28"/>
      <c r="F28"/>
      <c r="G28"/>
    </row>
    <row r="29" spans="2:7" x14ac:dyDescent="0.3">
      <c r="B29"/>
      <c r="C29"/>
      <c r="D29"/>
      <c r="E29"/>
      <c r="F29"/>
      <c r="G29"/>
    </row>
    <row r="30" spans="2:7" x14ac:dyDescent="0.3">
      <c r="B30"/>
      <c r="C30"/>
      <c r="D30"/>
      <c r="E30"/>
      <c r="F30"/>
      <c r="G30"/>
    </row>
    <row r="31" spans="2:7" x14ac:dyDescent="0.3">
      <c r="B31"/>
      <c r="C31"/>
      <c r="D31"/>
      <c r="E31"/>
      <c r="F31"/>
      <c r="G31"/>
    </row>
    <row r="32" spans="2:7" x14ac:dyDescent="0.3">
      <c r="B32"/>
      <c r="C32"/>
      <c r="D32"/>
      <c r="E32"/>
      <c r="F32"/>
      <c r="G32"/>
    </row>
    <row r="33" spans="2:7" x14ac:dyDescent="0.3">
      <c r="B33"/>
      <c r="C33"/>
      <c r="D33"/>
      <c r="E33"/>
      <c r="F33"/>
      <c r="G33"/>
    </row>
    <row r="34" spans="2:7" x14ac:dyDescent="0.3">
      <c r="B34"/>
      <c r="C34"/>
      <c r="D34"/>
      <c r="E34"/>
      <c r="F34"/>
      <c r="G34"/>
    </row>
    <row r="35" spans="2:7" x14ac:dyDescent="0.3">
      <c r="B35"/>
      <c r="C35"/>
      <c r="D35"/>
      <c r="E35"/>
      <c r="F35"/>
      <c r="G35"/>
    </row>
    <row r="36" spans="2:7" x14ac:dyDescent="0.3">
      <c r="B36"/>
      <c r="C36"/>
      <c r="D36"/>
      <c r="E36"/>
      <c r="F36"/>
      <c r="G36"/>
    </row>
    <row r="37" spans="2:7" x14ac:dyDescent="0.3">
      <c r="B37"/>
      <c r="C37"/>
      <c r="D37"/>
      <c r="E37"/>
      <c r="F37"/>
      <c r="G37"/>
    </row>
    <row r="38" spans="2:7" x14ac:dyDescent="0.3">
      <c r="B38"/>
      <c r="C38"/>
      <c r="D38"/>
      <c r="E38"/>
      <c r="F38"/>
      <c r="G38"/>
    </row>
    <row r="39" spans="2:7" x14ac:dyDescent="0.3">
      <c r="B39"/>
      <c r="C39"/>
      <c r="D39"/>
      <c r="E39"/>
      <c r="F39"/>
      <c r="G39"/>
    </row>
    <row r="40" spans="2:7" x14ac:dyDescent="0.3">
      <c r="B40"/>
      <c r="C40"/>
      <c r="D40"/>
      <c r="E40"/>
      <c r="F40"/>
      <c r="G40"/>
    </row>
    <row r="41" spans="2:7" x14ac:dyDescent="0.3">
      <c r="B41"/>
      <c r="C41"/>
      <c r="D41"/>
      <c r="E41"/>
      <c r="F41"/>
      <c r="G41"/>
    </row>
    <row r="42" spans="2:7" x14ac:dyDescent="0.3">
      <c r="B42"/>
      <c r="C42"/>
      <c r="D42"/>
      <c r="E42"/>
      <c r="F42"/>
      <c r="G42"/>
    </row>
    <row r="43" spans="2:7" x14ac:dyDescent="0.3">
      <c r="B43"/>
      <c r="C43"/>
      <c r="D43"/>
      <c r="E43"/>
      <c r="F43"/>
      <c r="G43"/>
    </row>
    <row r="44" spans="2:7" x14ac:dyDescent="0.3">
      <c r="B44"/>
      <c r="C44"/>
      <c r="D44"/>
      <c r="E44"/>
      <c r="F44"/>
      <c r="G44"/>
    </row>
    <row r="45" spans="2:7" x14ac:dyDescent="0.3">
      <c r="B45"/>
      <c r="C45"/>
      <c r="D45"/>
      <c r="E45"/>
      <c r="F45"/>
      <c r="G45"/>
    </row>
    <row r="46" spans="2:7" x14ac:dyDescent="0.3">
      <c r="B46"/>
      <c r="C46"/>
      <c r="D46"/>
      <c r="E46"/>
      <c r="F46"/>
      <c r="G46"/>
    </row>
    <row r="47" spans="2:7" x14ac:dyDescent="0.3">
      <c r="B47"/>
      <c r="C47"/>
      <c r="D47"/>
      <c r="E47"/>
      <c r="F47"/>
      <c r="G47"/>
    </row>
    <row r="48" spans="2:7" x14ac:dyDescent="0.3">
      <c r="B48"/>
      <c r="C48"/>
      <c r="D48"/>
      <c r="E48"/>
      <c r="F48"/>
      <c r="G48"/>
    </row>
    <row r="49" spans="2:7" x14ac:dyDescent="0.3">
      <c r="B49"/>
      <c r="C49"/>
      <c r="D49"/>
      <c r="E49"/>
      <c r="F49"/>
      <c r="G49"/>
    </row>
    <row r="50" spans="2:7" x14ac:dyDescent="0.3">
      <c r="B50"/>
      <c r="C50"/>
      <c r="D50"/>
      <c r="E50"/>
      <c r="F50"/>
      <c r="G50"/>
    </row>
    <row r="51" spans="2:7" x14ac:dyDescent="0.3">
      <c r="B51"/>
      <c r="C51"/>
      <c r="D51"/>
      <c r="E51"/>
      <c r="F51"/>
      <c r="G51"/>
    </row>
    <row r="52" spans="2:7" x14ac:dyDescent="0.3">
      <c r="B52"/>
      <c r="C52"/>
      <c r="D52"/>
      <c r="E52"/>
      <c r="F52"/>
      <c r="G52"/>
    </row>
    <row r="53" spans="2:7" x14ac:dyDescent="0.3">
      <c r="B53"/>
      <c r="C53"/>
      <c r="D53"/>
      <c r="E53"/>
      <c r="F53"/>
      <c r="G53"/>
    </row>
    <row r="54" spans="2:7" x14ac:dyDescent="0.3">
      <c r="B54"/>
      <c r="C54"/>
      <c r="D54"/>
      <c r="E54"/>
      <c r="F54"/>
      <c r="G54"/>
    </row>
    <row r="55" spans="2:7" x14ac:dyDescent="0.3">
      <c r="B55"/>
      <c r="C55"/>
      <c r="D55"/>
      <c r="E55"/>
      <c r="F55"/>
      <c r="G55"/>
    </row>
    <row r="56" spans="2:7" x14ac:dyDescent="0.3">
      <c r="B56"/>
      <c r="C56"/>
      <c r="D56"/>
      <c r="E56"/>
      <c r="F56"/>
      <c r="G56"/>
    </row>
    <row r="57" spans="2:7" x14ac:dyDescent="0.3">
      <c r="B57"/>
      <c r="C57"/>
      <c r="D57"/>
      <c r="E57"/>
      <c r="F57"/>
      <c r="G57"/>
    </row>
    <row r="58" spans="2:7" x14ac:dyDescent="0.3">
      <c r="B58"/>
      <c r="C58"/>
      <c r="D58"/>
      <c r="E58"/>
      <c r="F58"/>
      <c r="G58"/>
    </row>
    <row r="59" spans="2:7" x14ac:dyDescent="0.3">
      <c r="B59"/>
      <c r="C59"/>
      <c r="D59"/>
      <c r="E59"/>
      <c r="F59"/>
      <c r="G59"/>
    </row>
    <row r="60" spans="2:7" x14ac:dyDescent="0.3">
      <c r="B60"/>
      <c r="C60"/>
      <c r="D60"/>
      <c r="E60"/>
      <c r="F60"/>
      <c r="G60"/>
    </row>
    <row r="61" spans="2:7" x14ac:dyDescent="0.3">
      <c r="B61"/>
      <c r="C61"/>
      <c r="D61"/>
      <c r="E61"/>
      <c r="F61"/>
      <c r="G61"/>
    </row>
    <row r="62" spans="2:7" x14ac:dyDescent="0.3">
      <c r="B62"/>
      <c r="C62"/>
      <c r="D62"/>
      <c r="E62"/>
      <c r="F62"/>
      <c r="G62"/>
    </row>
    <row r="63" spans="2:7" x14ac:dyDescent="0.3">
      <c r="B63"/>
      <c r="C63"/>
      <c r="D63"/>
      <c r="E63"/>
      <c r="F63"/>
      <c r="G63"/>
    </row>
    <row r="64" spans="2:7" x14ac:dyDescent="0.3">
      <c r="B64"/>
      <c r="C64"/>
      <c r="D64"/>
      <c r="E64"/>
      <c r="F64"/>
      <c r="G64"/>
    </row>
    <row r="65" spans="2:7" x14ac:dyDescent="0.3">
      <c r="B65"/>
      <c r="C65"/>
      <c r="D65"/>
      <c r="E65"/>
      <c r="F65"/>
      <c r="G65"/>
    </row>
    <row r="66" spans="2:7" x14ac:dyDescent="0.3">
      <c r="B66"/>
      <c r="C66"/>
      <c r="D66"/>
      <c r="E66"/>
      <c r="F66"/>
      <c r="G66"/>
    </row>
    <row r="67" spans="2:7" x14ac:dyDescent="0.3">
      <c r="B67"/>
      <c r="C67"/>
      <c r="D67"/>
      <c r="E67"/>
      <c r="F67"/>
      <c r="G67"/>
    </row>
    <row r="68" spans="2:7" x14ac:dyDescent="0.3">
      <c r="B68"/>
      <c r="C68"/>
      <c r="D68"/>
      <c r="E68"/>
      <c r="F68"/>
      <c r="G68"/>
    </row>
    <row r="69" spans="2:7" x14ac:dyDescent="0.3">
      <c r="B69"/>
      <c r="C69"/>
      <c r="D69"/>
      <c r="E69"/>
      <c r="F69"/>
      <c r="G69"/>
    </row>
    <row r="70" spans="2:7" x14ac:dyDescent="0.3">
      <c r="B70"/>
      <c r="C70"/>
      <c r="D70"/>
      <c r="E70"/>
      <c r="F70"/>
      <c r="G70"/>
    </row>
    <row r="71" spans="2:7" x14ac:dyDescent="0.3">
      <c r="B71"/>
      <c r="C71"/>
      <c r="D71"/>
      <c r="E71"/>
      <c r="F71"/>
      <c r="G71"/>
    </row>
    <row r="72" spans="2:7" x14ac:dyDescent="0.3">
      <c r="B72"/>
      <c r="C72"/>
      <c r="D72"/>
      <c r="E72"/>
      <c r="F72"/>
      <c r="G72"/>
    </row>
    <row r="73" spans="2:7" x14ac:dyDescent="0.3">
      <c r="B73"/>
      <c r="C73"/>
      <c r="D73"/>
      <c r="E73"/>
      <c r="F73"/>
      <c r="G73"/>
    </row>
    <row r="74" spans="2:7" x14ac:dyDescent="0.3">
      <c r="B74"/>
      <c r="C74"/>
      <c r="D74"/>
      <c r="E74"/>
      <c r="F74"/>
      <c r="G74"/>
    </row>
    <row r="75" spans="2:7" x14ac:dyDescent="0.3">
      <c r="B75"/>
      <c r="C75"/>
      <c r="D75"/>
      <c r="E75"/>
      <c r="F75"/>
      <c r="G75"/>
    </row>
    <row r="76" spans="2:7" x14ac:dyDescent="0.3">
      <c r="B76"/>
      <c r="C76"/>
      <c r="D76"/>
      <c r="E76"/>
      <c r="F76"/>
      <c r="G76"/>
    </row>
    <row r="77" spans="2:7" x14ac:dyDescent="0.3">
      <c r="B77"/>
      <c r="C77"/>
      <c r="D77"/>
      <c r="E77"/>
      <c r="F77"/>
      <c r="G77"/>
    </row>
    <row r="78" spans="2:7" x14ac:dyDescent="0.3">
      <c r="B78"/>
      <c r="C78"/>
      <c r="D78"/>
      <c r="E78"/>
      <c r="F78"/>
      <c r="G78"/>
    </row>
    <row r="79" spans="2:7" x14ac:dyDescent="0.3">
      <c r="B79"/>
      <c r="C79"/>
      <c r="D79"/>
      <c r="E79"/>
      <c r="F79"/>
      <c r="G79"/>
    </row>
    <row r="80" spans="2:7" x14ac:dyDescent="0.3">
      <c r="B80"/>
      <c r="C80"/>
      <c r="D80"/>
      <c r="E80"/>
      <c r="F80"/>
      <c r="G80"/>
    </row>
    <row r="81" spans="2:7" x14ac:dyDescent="0.3">
      <c r="B81"/>
      <c r="C81"/>
      <c r="D81"/>
      <c r="E81"/>
      <c r="F81"/>
      <c r="G81"/>
    </row>
    <row r="82" spans="2:7" x14ac:dyDescent="0.3">
      <c r="B82"/>
      <c r="C82"/>
      <c r="D82"/>
      <c r="E82"/>
      <c r="F82"/>
      <c r="G82"/>
    </row>
    <row r="83" spans="2:7" x14ac:dyDescent="0.3">
      <c r="B83"/>
      <c r="C83"/>
      <c r="D83"/>
      <c r="E83"/>
      <c r="F83"/>
      <c r="G83"/>
    </row>
    <row r="84" spans="2:7" x14ac:dyDescent="0.3">
      <c r="B84"/>
      <c r="C84"/>
      <c r="D84"/>
      <c r="E84"/>
      <c r="F84"/>
      <c r="G84"/>
    </row>
    <row r="85" spans="2:7" x14ac:dyDescent="0.3">
      <c r="B85"/>
      <c r="C85"/>
      <c r="D85"/>
      <c r="E85"/>
      <c r="F85"/>
      <c r="G85"/>
    </row>
    <row r="86" spans="2:7" x14ac:dyDescent="0.3">
      <c r="B86"/>
      <c r="C86"/>
      <c r="D86"/>
      <c r="E86"/>
      <c r="F86"/>
      <c r="G86"/>
    </row>
    <row r="87" spans="2:7" x14ac:dyDescent="0.3">
      <c r="B87"/>
      <c r="C87"/>
      <c r="D87"/>
      <c r="E87"/>
      <c r="F87"/>
      <c r="G87"/>
    </row>
    <row r="88" spans="2:7" x14ac:dyDescent="0.3">
      <c r="B88"/>
      <c r="C88"/>
      <c r="D88"/>
      <c r="E88"/>
      <c r="F88"/>
      <c r="G88"/>
    </row>
    <row r="89" spans="2:7" x14ac:dyDescent="0.3">
      <c r="B89"/>
      <c r="C89"/>
      <c r="D89"/>
      <c r="E89"/>
      <c r="F89"/>
      <c r="G89"/>
    </row>
    <row r="90" spans="2:7" x14ac:dyDescent="0.3">
      <c r="B90"/>
      <c r="C90"/>
      <c r="D90"/>
      <c r="E90"/>
      <c r="F90"/>
      <c r="G90"/>
    </row>
    <row r="91" spans="2:7" x14ac:dyDescent="0.3">
      <c r="B91"/>
      <c r="C91"/>
      <c r="D91"/>
      <c r="E91"/>
      <c r="F91"/>
      <c r="G91"/>
    </row>
    <row r="92" spans="2:7" x14ac:dyDescent="0.3">
      <c r="B92"/>
      <c r="C92"/>
      <c r="D92"/>
      <c r="E92"/>
      <c r="F92"/>
      <c r="G92"/>
    </row>
    <row r="93" spans="2:7" x14ac:dyDescent="0.3">
      <c r="B93"/>
      <c r="C93"/>
      <c r="D93"/>
      <c r="E93"/>
      <c r="F93"/>
      <c r="G93"/>
    </row>
    <row r="94" spans="2:7" x14ac:dyDescent="0.3">
      <c r="B94"/>
      <c r="C94"/>
      <c r="D94"/>
      <c r="E94"/>
      <c r="F94"/>
      <c r="G94"/>
    </row>
    <row r="95" spans="2:7" x14ac:dyDescent="0.3">
      <c r="B95"/>
      <c r="C95"/>
      <c r="D95"/>
      <c r="E95"/>
      <c r="F95"/>
      <c r="G95"/>
    </row>
    <row r="96" spans="2:7" x14ac:dyDescent="0.3">
      <c r="B96"/>
      <c r="C96"/>
      <c r="D96"/>
      <c r="E96"/>
      <c r="F96"/>
      <c r="G96"/>
    </row>
    <row r="97" spans="2:7" x14ac:dyDescent="0.3">
      <c r="B97"/>
      <c r="C97"/>
      <c r="D97"/>
      <c r="E97"/>
      <c r="F97"/>
      <c r="G97"/>
    </row>
    <row r="98" spans="2:7" x14ac:dyDescent="0.3">
      <c r="B98"/>
      <c r="C98"/>
      <c r="D98"/>
      <c r="E98"/>
      <c r="F98"/>
      <c r="G98"/>
    </row>
    <row r="99" spans="2:7" x14ac:dyDescent="0.3">
      <c r="B99"/>
      <c r="C99"/>
      <c r="D99"/>
      <c r="E99"/>
      <c r="F99"/>
      <c r="G99"/>
    </row>
    <row r="100" spans="2:7" x14ac:dyDescent="0.3">
      <c r="B100"/>
      <c r="C100"/>
      <c r="D100"/>
      <c r="E100"/>
      <c r="F100"/>
      <c r="G100"/>
    </row>
    <row r="101" spans="2:7" x14ac:dyDescent="0.3">
      <c r="B101"/>
      <c r="C101"/>
      <c r="D101"/>
      <c r="E101"/>
      <c r="F101"/>
      <c r="G101"/>
    </row>
    <row r="102" spans="2:7" x14ac:dyDescent="0.3">
      <c r="B102"/>
      <c r="C102"/>
      <c r="D102"/>
      <c r="E102"/>
      <c r="F102"/>
      <c r="G102"/>
    </row>
    <row r="103" spans="2:7" x14ac:dyDescent="0.3">
      <c r="B103"/>
      <c r="C103"/>
      <c r="D103"/>
      <c r="E103"/>
      <c r="F103"/>
      <c r="G103"/>
    </row>
    <row r="104" spans="2:7" x14ac:dyDescent="0.3">
      <c r="B104"/>
      <c r="C104"/>
      <c r="D104"/>
      <c r="E104"/>
      <c r="F104"/>
      <c r="G104"/>
    </row>
    <row r="105" spans="2:7" x14ac:dyDescent="0.3">
      <c r="B105"/>
      <c r="C105"/>
      <c r="D105"/>
      <c r="E105"/>
      <c r="F105"/>
      <c r="G105"/>
    </row>
    <row r="106" spans="2:7" x14ac:dyDescent="0.3">
      <c r="B106"/>
      <c r="C106"/>
      <c r="D106"/>
      <c r="E106"/>
      <c r="F106"/>
      <c r="G106"/>
    </row>
    <row r="107" spans="2:7" x14ac:dyDescent="0.3">
      <c r="B107"/>
      <c r="C107"/>
      <c r="D107"/>
      <c r="E107"/>
      <c r="F107"/>
      <c r="G107"/>
    </row>
    <row r="108" spans="2:7" x14ac:dyDescent="0.3">
      <c r="B108"/>
      <c r="C108"/>
      <c r="D108"/>
      <c r="E108"/>
      <c r="F108"/>
      <c r="G108"/>
    </row>
    <row r="109" spans="2:7" x14ac:dyDescent="0.3">
      <c r="B109"/>
      <c r="C109"/>
      <c r="D109"/>
      <c r="E109"/>
      <c r="F109"/>
      <c r="G109"/>
    </row>
    <row r="110" spans="2:7" x14ac:dyDescent="0.3">
      <c r="B110"/>
      <c r="C110"/>
      <c r="D110"/>
      <c r="E110"/>
      <c r="F110"/>
      <c r="G110"/>
    </row>
    <row r="111" spans="2:7" x14ac:dyDescent="0.3">
      <c r="B111"/>
      <c r="C111"/>
      <c r="D111"/>
      <c r="E111"/>
      <c r="F111"/>
      <c r="G111"/>
    </row>
    <row r="112" spans="2:7" x14ac:dyDescent="0.3">
      <c r="B112"/>
      <c r="C112"/>
      <c r="D112"/>
      <c r="E112"/>
      <c r="F112"/>
      <c r="G112"/>
    </row>
    <row r="113" spans="2:7" x14ac:dyDescent="0.3">
      <c r="B113"/>
      <c r="C113"/>
      <c r="D113"/>
      <c r="E113"/>
      <c r="F113"/>
      <c r="G113"/>
    </row>
    <row r="114" spans="2:7" x14ac:dyDescent="0.3">
      <c r="B114"/>
      <c r="C114"/>
      <c r="D114"/>
      <c r="E114"/>
      <c r="F114"/>
      <c r="G114"/>
    </row>
    <row r="115" spans="2:7" x14ac:dyDescent="0.3">
      <c r="B115"/>
      <c r="C115"/>
      <c r="D115"/>
      <c r="E115"/>
      <c r="F115"/>
      <c r="G115"/>
    </row>
    <row r="116" spans="2:7" x14ac:dyDescent="0.3">
      <c r="B116"/>
      <c r="C116"/>
      <c r="D116"/>
      <c r="E116"/>
      <c r="F116"/>
      <c r="G116"/>
    </row>
    <row r="117" spans="2:7" x14ac:dyDescent="0.3">
      <c r="B117"/>
      <c r="C117"/>
      <c r="D117"/>
      <c r="E117"/>
      <c r="F117"/>
      <c r="G117"/>
    </row>
    <row r="118" spans="2:7" x14ac:dyDescent="0.3">
      <c r="B118"/>
      <c r="C118"/>
      <c r="D118"/>
      <c r="E118"/>
      <c r="F118"/>
      <c r="G118"/>
    </row>
    <row r="119" spans="2:7" x14ac:dyDescent="0.3">
      <c r="B119"/>
      <c r="C119"/>
      <c r="D119"/>
      <c r="E119"/>
      <c r="F119"/>
      <c r="G119"/>
    </row>
    <row r="120" spans="2:7" x14ac:dyDescent="0.3">
      <c r="B120"/>
      <c r="C120"/>
      <c r="D120"/>
      <c r="E120"/>
      <c r="F120"/>
      <c r="G120"/>
    </row>
    <row r="121" spans="2:7" x14ac:dyDescent="0.3">
      <c r="B121"/>
      <c r="C121"/>
      <c r="D121"/>
      <c r="E121"/>
      <c r="F121"/>
      <c r="G121"/>
    </row>
    <row r="122" spans="2:7" x14ac:dyDescent="0.3">
      <c r="B122"/>
      <c r="C122"/>
      <c r="D122"/>
      <c r="E122"/>
      <c r="F122"/>
      <c r="G122"/>
    </row>
    <row r="123" spans="2:7" x14ac:dyDescent="0.3">
      <c r="B123"/>
      <c r="C123"/>
      <c r="D123"/>
      <c r="E123"/>
      <c r="F123"/>
      <c r="G123"/>
    </row>
    <row r="124" spans="2:7" x14ac:dyDescent="0.3">
      <c r="B124"/>
      <c r="C124"/>
      <c r="D124"/>
      <c r="E124"/>
      <c r="F124"/>
      <c r="G124"/>
    </row>
    <row r="125" spans="2:7" x14ac:dyDescent="0.3">
      <c r="B125"/>
      <c r="C125"/>
      <c r="D125"/>
      <c r="E125"/>
      <c r="F125"/>
      <c r="G125"/>
    </row>
    <row r="126" spans="2:7" x14ac:dyDescent="0.3">
      <c r="B126"/>
      <c r="C126"/>
      <c r="D126"/>
      <c r="E126"/>
      <c r="F126"/>
      <c r="G126"/>
    </row>
    <row r="127" spans="2:7" x14ac:dyDescent="0.3">
      <c r="B127"/>
      <c r="C127"/>
      <c r="D127"/>
      <c r="E127"/>
      <c r="F127"/>
      <c r="G127"/>
    </row>
    <row r="128" spans="2:7" x14ac:dyDescent="0.3">
      <c r="B128"/>
      <c r="C128"/>
      <c r="D128"/>
      <c r="E128"/>
      <c r="F128"/>
      <c r="G128"/>
    </row>
    <row r="129" spans="2:7" x14ac:dyDescent="0.3">
      <c r="B129"/>
      <c r="C129"/>
      <c r="D129"/>
      <c r="E129"/>
      <c r="F129"/>
      <c r="G129"/>
    </row>
    <row r="130" spans="2:7" x14ac:dyDescent="0.3">
      <c r="B130"/>
      <c r="C130"/>
      <c r="D130"/>
      <c r="E130"/>
      <c r="F130"/>
      <c r="G130"/>
    </row>
    <row r="131" spans="2:7" x14ac:dyDescent="0.3">
      <c r="B131"/>
      <c r="C131"/>
      <c r="D131"/>
      <c r="E131"/>
      <c r="F131"/>
      <c r="G131"/>
    </row>
    <row r="132" spans="2:7" x14ac:dyDescent="0.3">
      <c r="B132"/>
      <c r="C132"/>
      <c r="D132"/>
      <c r="E132"/>
      <c r="F132"/>
      <c r="G132"/>
    </row>
    <row r="133" spans="2:7" x14ac:dyDescent="0.3">
      <c r="B133"/>
      <c r="C133"/>
      <c r="D133"/>
      <c r="E133"/>
      <c r="F133"/>
      <c r="G133"/>
    </row>
    <row r="134" spans="2:7" x14ac:dyDescent="0.3">
      <c r="B134"/>
      <c r="C134"/>
      <c r="D134"/>
      <c r="E134"/>
      <c r="F134"/>
      <c r="G134"/>
    </row>
    <row r="135" spans="2:7" x14ac:dyDescent="0.3">
      <c r="B135"/>
      <c r="C135"/>
      <c r="D135"/>
      <c r="E135"/>
      <c r="F135"/>
      <c r="G135"/>
    </row>
    <row r="136" spans="2:7" x14ac:dyDescent="0.3">
      <c r="B136"/>
      <c r="C136"/>
      <c r="D136"/>
      <c r="E136"/>
      <c r="F136"/>
      <c r="G136"/>
    </row>
    <row r="137" spans="2:7" x14ac:dyDescent="0.3">
      <c r="B137"/>
      <c r="C137"/>
      <c r="D137"/>
      <c r="E137"/>
      <c r="F137"/>
      <c r="G137"/>
    </row>
    <row r="138" spans="2:7" x14ac:dyDescent="0.3">
      <c r="B138"/>
      <c r="C138"/>
      <c r="D138"/>
      <c r="E138"/>
      <c r="F138"/>
      <c r="G138"/>
    </row>
    <row r="139" spans="2:7" x14ac:dyDescent="0.3">
      <c r="B139"/>
      <c r="C139"/>
      <c r="D139"/>
      <c r="E139"/>
      <c r="F139"/>
      <c r="G139"/>
    </row>
    <row r="140" spans="2:7" x14ac:dyDescent="0.3">
      <c r="B140"/>
      <c r="C140"/>
      <c r="D140"/>
      <c r="E140"/>
      <c r="F140"/>
      <c r="G140"/>
    </row>
    <row r="141" spans="2:7" x14ac:dyDescent="0.3">
      <c r="B141"/>
      <c r="C141"/>
      <c r="D141"/>
      <c r="E141"/>
      <c r="F141"/>
      <c r="G141"/>
    </row>
    <row r="142" spans="2:7" x14ac:dyDescent="0.3">
      <c r="B142"/>
      <c r="C142"/>
      <c r="D142"/>
      <c r="E142"/>
      <c r="F142"/>
      <c r="G142"/>
    </row>
    <row r="143" spans="2:7" x14ac:dyDescent="0.3">
      <c r="B143"/>
      <c r="C143"/>
      <c r="D143"/>
      <c r="E143"/>
      <c r="F143"/>
      <c r="G143"/>
    </row>
    <row r="144" spans="2:7" x14ac:dyDescent="0.3">
      <c r="B144"/>
      <c r="C144"/>
      <c r="D144"/>
      <c r="E144"/>
      <c r="F144"/>
      <c r="G144"/>
    </row>
    <row r="145" spans="2:7" x14ac:dyDescent="0.3">
      <c r="B145"/>
      <c r="C145"/>
      <c r="D145"/>
      <c r="E145"/>
      <c r="F145"/>
      <c r="G145"/>
    </row>
    <row r="146" spans="2:7" x14ac:dyDescent="0.3">
      <c r="B146"/>
      <c r="C146"/>
      <c r="D146"/>
      <c r="E146"/>
      <c r="F146"/>
      <c r="G146"/>
    </row>
    <row r="147" spans="2:7" x14ac:dyDescent="0.3">
      <c r="B147"/>
      <c r="C147"/>
      <c r="D147"/>
      <c r="E147"/>
      <c r="F147"/>
      <c r="G147"/>
    </row>
    <row r="148" spans="2:7" x14ac:dyDescent="0.3">
      <c r="B148"/>
      <c r="C148"/>
      <c r="D148"/>
      <c r="E148"/>
      <c r="F148"/>
      <c r="G148"/>
    </row>
    <row r="149" spans="2:7" x14ac:dyDescent="0.3">
      <c r="B149"/>
      <c r="C149"/>
      <c r="D149"/>
      <c r="E149"/>
      <c r="F149"/>
      <c r="G149"/>
    </row>
    <row r="150" spans="2:7" x14ac:dyDescent="0.3">
      <c r="B150"/>
      <c r="C150"/>
      <c r="D150"/>
      <c r="E150"/>
      <c r="F150"/>
      <c r="G150"/>
    </row>
    <row r="151" spans="2:7" x14ac:dyDescent="0.3">
      <c r="B151"/>
      <c r="C151"/>
      <c r="D151"/>
      <c r="E151"/>
      <c r="F151"/>
      <c r="G151"/>
    </row>
    <row r="152" spans="2:7" x14ac:dyDescent="0.3">
      <c r="B152"/>
      <c r="C152"/>
      <c r="D152"/>
      <c r="E152"/>
      <c r="F152"/>
      <c r="G152"/>
    </row>
    <row r="153" spans="2:7" x14ac:dyDescent="0.3">
      <c r="B153"/>
      <c r="C153"/>
      <c r="D153"/>
      <c r="E153"/>
      <c r="F153"/>
      <c r="G153"/>
    </row>
    <row r="154" spans="2:7" x14ac:dyDescent="0.3">
      <c r="B154"/>
      <c r="C154"/>
      <c r="D154"/>
      <c r="E154"/>
      <c r="F154"/>
      <c r="G154"/>
    </row>
    <row r="155" spans="2:7" x14ac:dyDescent="0.3">
      <c r="B155"/>
      <c r="C155"/>
      <c r="D155"/>
      <c r="E155"/>
      <c r="F155"/>
      <c r="G155"/>
    </row>
    <row r="156" spans="2:7" x14ac:dyDescent="0.3">
      <c r="B156"/>
      <c r="C156"/>
      <c r="D156"/>
      <c r="E156"/>
      <c r="F156"/>
      <c r="G156"/>
    </row>
    <row r="157" spans="2:7" x14ac:dyDescent="0.3">
      <c r="B157"/>
      <c r="C157"/>
      <c r="D157"/>
      <c r="E157"/>
      <c r="F157"/>
      <c r="G157"/>
    </row>
    <row r="158" spans="2:7" x14ac:dyDescent="0.3">
      <c r="B158"/>
      <c r="C158"/>
      <c r="D158"/>
      <c r="E158"/>
      <c r="F158"/>
      <c r="G158"/>
    </row>
    <row r="159" spans="2:7" x14ac:dyDescent="0.3">
      <c r="B159"/>
      <c r="C159"/>
      <c r="D159"/>
      <c r="E159"/>
      <c r="F159"/>
      <c r="G159"/>
    </row>
    <row r="160" spans="2:7" x14ac:dyDescent="0.3">
      <c r="B160"/>
      <c r="C160"/>
      <c r="D160"/>
      <c r="E160"/>
      <c r="F160"/>
      <c r="G160"/>
    </row>
    <row r="161" spans="2:7" x14ac:dyDescent="0.3">
      <c r="B161"/>
      <c r="C161"/>
      <c r="D161"/>
      <c r="E161"/>
      <c r="F161"/>
      <c r="G161"/>
    </row>
    <row r="162" spans="2:7" x14ac:dyDescent="0.3">
      <c r="B162"/>
      <c r="C162"/>
      <c r="D162"/>
      <c r="E162"/>
      <c r="F162"/>
      <c r="G162"/>
    </row>
    <row r="163" spans="2:7" x14ac:dyDescent="0.3">
      <c r="B163"/>
      <c r="C163"/>
      <c r="D163"/>
      <c r="E163"/>
      <c r="F163"/>
      <c r="G163"/>
    </row>
    <row r="164" spans="2:7" x14ac:dyDescent="0.3">
      <c r="B164"/>
      <c r="C164"/>
      <c r="D164"/>
      <c r="E164"/>
      <c r="F164"/>
      <c r="G164"/>
    </row>
    <row r="165" spans="2:7" x14ac:dyDescent="0.3">
      <c r="B165"/>
      <c r="C165"/>
      <c r="D165"/>
      <c r="E165"/>
      <c r="F165"/>
      <c r="G165"/>
    </row>
    <row r="166" spans="2:7" x14ac:dyDescent="0.3">
      <c r="B166"/>
      <c r="C166"/>
      <c r="D166"/>
      <c r="E166"/>
      <c r="F166"/>
      <c r="G166"/>
    </row>
    <row r="167" spans="2:7" x14ac:dyDescent="0.3">
      <c r="B167"/>
      <c r="C167"/>
      <c r="D167"/>
      <c r="E167"/>
      <c r="F167"/>
      <c r="G167"/>
    </row>
    <row r="168" spans="2:7" x14ac:dyDescent="0.3">
      <c r="B168"/>
      <c r="C168"/>
      <c r="D168"/>
      <c r="E168"/>
      <c r="F168"/>
      <c r="G168"/>
    </row>
    <row r="169" spans="2:7" x14ac:dyDescent="0.3">
      <c r="B169"/>
      <c r="C169"/>
      <c r="D169"/>
      <c r="E169"/>
      <c r="F169"/>
      <c r="G169"/>
    </row>
    <row r="170" spans="2:7" x14ac:dyDescent="0.3">
      <c r="B170"/>
      <c r="C170"/>
      <c r="D170"/>
      <c r="E170"/>
      <c r="F170"/>
      <c r="G170"/>
    </row>
    <row r="171" spans="2:7" x14ac:dyDescent="0.3">
      <c r="B171"/>
      <c r="C171"/>
      <c r="D171"/>
      <c r="E171"/>
      <c r="F171"/>
      <c r="G171"/>
    </row>
    <row r="172" spans="2:7" x14ac:dyDescent="0.3">
      <c r="B172"/>
      <c r="C172"/>
      <c r="D172"/>
      <c r="E172"/>
      <c r="F172"/>
      <c r="G172"/>
    </row>
    <row r="173" spans="2:7" x14ac:dyDescent="0.3">
      <c r="B173"/>
      <c r="C173"/>
      <c r="D173"/>
      <c r="E173"/>
      <c r="F173"/>
      <c r="G173"/>
    </row>
    <row r="174" spans="2:7" x14ac:dyDescent="0.3">
      <c r="B174"/>
      <c r="C174"/>
      <c r="D174"/>
      <c r="E174"/>
      <c r="F174"/>
      <c r="G174"/>
    </row>
    <row r="175" spans="2:7" x14ac:dyDescent="0.3">
      <c r="B175"/>
      <c r="C175"/>
      <c r="D175"/>
      <c r="E175"/>
      <c r="F175"/>
      <c r="G175"/>
    </row>
    <row r="176" spans="2:7" x14ac:dyDescent="0.3">
      <c r="B176"/>
      <c r="C176"/>
      <c r="D176"/>
      <c r="E176"/>
      <c r="F176"/>
      <c r="G176"/>
    </row>
    <row r="177" spans="2:7" x14ac:dyDescent="0.3">
      <c r="B177"/>
      <c r="C177"/>
      <c r="D177"/>
      <c r="E177"/>
      <c r="F177"/>
      <c r="G177"/>
    </row>
    <row r="178" spans="2:7" x14ac:dyDescent="0.3">
      <c r="B178"/>
      <c r="C178"/>
      <c r="D178"/>
      <c r="E178"/>
      <c r="F178"/>
      <c r="G178"/>
    </row>
    <row r="179" spans="2:7" x14ac:dyDescent="0.3">
      <c r="B179"/>
      <c r="C179"/>
      <c r="D179"/>
      <c r="E179"/>
      <c r="F179"/>
      <c r="G179"/>
    </row>
    <row r="180" spans="2:7" x14ac:dyDescent="0.3">
      <c r="B180"/>
      <c r="C180"/>
      <c r="D180"/>
      <c r="E180"/>
      <c r="F180"/>
      <c r="G180"/>
    </row>
    <row r="181" spans="2:7" x14ac:dyDescent="0.3">
      <c r="B181"/>
      <c r="C181"/>
      <c r="D181"/>
      <c r="E181"/>
      <c r="F181"/>
      <c r="G181"/>
    </row>
    <row r="182" spans="2:7" x14ac:dyDescent="0.3">
      <c r="B182"/>
      <c r="C182"/>
      <c r="D182"/>
      <c r="E182"/>
      <c r="F182"/>
      <c r="G182"/>
    </row>
    <row r="183" spans="2:7" x14ac:dyDescent="0.3">
      <c r="B183"/>
      <c r="C183"/>
      <c r="D183"/>
      <c r="E183"/>
      <c r="F183"/>
      <c r="G183"/>
    </row>
    <row r="184" spans="2:7" x14ac:dyDescent="0.3">
      <c r="B184"/>
      <c r="C184"/>
      <c r="D184"/>
      <c r="E184"/>
      <c r="F184"/>
      <c r="G184"/>
    </row>
    <row r="185" spans="2:7" x14ac:dyDescent="0.3">
      <c r="B185"/>
      <c r="C185"/>
      <c r="D185"/>
      <c r="E185"/>
      <c r="F185"/>
      <c r="G185"/>
    </row>
    <row r="186" spans="2:7" x14ac:dyDescent="0.3">
      <c r="B186"/>
      <c r="C186"/>
      <c r="D186"/>
      <c r="E186"/>
      <c r="F186"/>
      <c r="G186"/>
    </row>
    <row r="187" spans="2:7" x14ac:dyDescent="0.3">
      <c r="B187"/>
      <c r="C187"/>
      <c r="D187"/>
      <c r="E187"/>
      <c r="F187"/>
      <c r="G187"/>
    </row>
    <row r="188" spans="2:7" x14ac:dyDescent="0.3">
      <c r="B188"/>
      <c r="C188"/>
      <c r="D188"/>
      <c r="E188"/>
      <c r="F188"/>
      <c r="G188"/>
    </row>
    <row r="189" spans="2:7" x14ac:dyDescent="0.3">
      <c r="B189"/>
      <c r="C189"/>
      <c r="D189"/>
      <c r="E189"/>
      <c r="F189"/>
      <c r="G189"/>
    </row>
    <row r="190" spans="2:7" x14ac:dyDescent="0.3">
      <c r="B190"/>
      <c r="C190"/>
      <c r="D190"/>
      <c r="E190"/>
      <c r="F190"/>
      <c r="G190"/>
    </row>
    <row r="191" spans="2:7" x14ac:dyDescent="0.3">
      <c r="B191"/>
      <c r="C191"/>
      <c r="D191"/>
      <c r="E191"/>
      <c r="F191"/>
      <c r="G191"/>
    </row>
    <row r="192" spans="2:7" x14ac:dyDescent="0.3">
      <c r="B192"/>
      <c r="C192"/>
      <c r="D192"/>
      <c r="E192"/>
      <c r="F192"/>
      <c r="G192"/>
    </row>
    <row r="193" spans="2:7" x14ac:dyDescent="0.3">
      <c r="B193"/>
      <c r="C193"/>
      <c r="D193"/>
      <c r="E193"/>
      <c r="F193"/>
      <c r="G193"/>
    </row>
    <row r="194" spans="2:7" x14ac:dyDescent="0.3">
      <c r="B194"/>
      <c r="C194"/>
      <c r="D194"/>
      <c r="E194"/>
      <c r="F194"/>
      <c r="G194"/>
    </row>
    <row r="195" spans="2:7" x14ac:dyDescent="0.3">
      <c r="B195"/>
      <c r="C195"/>
      <c r="D195"/>
      <c r="E195"/>
      <c r="F195"/>
      <c r="G195"/>
    </row>
    <row r="196" spans="2:7" x14ac:dyDescent="0.3">
      <c r="B196"/>
      <c r="C196"/>
      <c r="D196"/>
      <c r="E196"/>
      <c r="F196"/>
      <c r="G196"/>
    </row>
    <row r="197" spans="2:7" x14ac:dyDescent="0.3">
      <c r="B197"/>
      <c r="C197"/>
      <c r="D197"/>
      <c r="E197"/>
      <c r="F197"/>
      <c r="G197"/>
    </row>
    <row r="198" spans="2:7" x14ac:dyDescent="0.3">
      <c r="B198"/>
      <c r="C198"/>
      <c r="D198"/>
      <c r="E198"/>
      <c r="F198"/>
      <c r="G198"/>
    </row>
    <row r="199" spans="2:7" x14ac:dyDescent="0.3">
      <c r="B199"/>
      <c r="C199"/>
      <c r="D199"/>
      <c r="E199"/>
      <c r="F199"/>
      <c r="G199"/>
    </row>
    <row r="200" spans="2:7" x14ac:dyDescent="0.3">
      <c r="B200"/>
      <c r="C200"/>
      <c r="D200"/>
      <c r="E200"/>
      <c r="F200"/>
      <c r="G200"/>
    </row>
    <row r="201" spans="2:7" x14ac:dyDescent="0.3">
      <c r="B201"/>
      <c r="C201"/>
      <c r="D201"/>
      <c r="E201"/>
      <c r="F201"/>
      <c r="G201"/>
    </row>
    <row r="202" spans="2:7" x14ac:dyDescent="0.3">
      <c r="B202"/>
      <c r="C202"/>
      <c r="D202"/>
      <c r="E202"/>
      <c r="F202"/>
      <c r="G202"/>
    </row>
    <row r="203" spans="2:7" x14ac:dyDescent="0.3">
      <c r="B203"/>
      <c r="C203"/>
      <c r="D203"/>
      <c r="E203"/>
      <c r="F203"/>
      <c r="G203"/>
    </row>
    <row r="204" spans="2:7" x14ac:dyDescent="0.3">
      <c r="B204"/>
      <c r="C204"/>
      <c r="D204"/>
      <c r="E204"/>
      <c r="F204"/>
      <c r="G204"/>
    </row>
    <row r="205" spans="2:7" x14ac:dyDescent="0.3">
      <c r="B205"/>
      <c r="C205"/>
      <c r="D205"/>
      <c r="E205"/>
      <c r="F205"/>
      <c r="G205"/>
    </row>
    <row r="206" spans="2:7" x14ac:dyDescent="0.3">
      <c r="B206"/>
      <c r="C206"/>
      <c r="D206"/>
      <c r="E206"/>
      <c r="F206"/>
      <c r="G206"/>
    </row>
    <row r="207" spans="2:7" x14ac:dyDescent="0.3">
      <c r="B207"/>
      <c r="C207"/>
      <c r="D207"/>
      <c r="E207"/>
      <c r="F207"/>
      <c r="G207"/>
    </row>
    <row r="208" spans="2:7" x14ac:dyDescent="0.3">
      <c r="B208"/>
      <c r="C208"/>
      <c r="D208"/>
      <c r="E208"/>
      <c r="F208"/>
      <c r="G208"/>
    </row>
    <row r="209" spans="2:7" x14ac:dyDescent="0.3">
      <c r="B209"/>
      <c r="C209"/>
      <c r="D209"/>
      <c r="E209"/>
      <c r="F209"/>
      <c r="G209"/>
    </row>
    <row r="210" spans="2:7" x14ac:dyDescent="0.3">
      <c r="B210"/>
      <c r="C210"/>
      <c r="D210"/>
      <c r="E210"/>
      <c r="F210"/>
      <c r="G210"/>
    </row>
    <row r="211" spans="2:7" x14ac:dyDescent="0.3">
      <c r="B211"/>
      <c r="C211"/>
      <c r="D211"/>
      <c r="E211"/>
      <c r="F211"/>
      <c r="G211"/>
    </row>
    <row r="212" spans="2:7" x14ac:dyDescent="0.3">
      <c r="B212"/>
      <c r="C212"/>
      <c r="D212"/>
      <c r="E212"/>
      <c r="F212"/>
      <c r="G212"/>
    </row>
    <row r="213" spans="2:7" x14ac:dyDescent="0.3">
      <c r="B213"/>
      <c r="C213"/>
      <c r="D213"/>
      <c r="E213"/>
      <c r="F213"/>
      <c r="G213"/>
    </row>
    <row r="214" spans="2:7" x14ac:dyDescent="0.3">
      <c r="B214"/>
      <c r="C214"/>
      <c r="D214"/>
      <c r="E214"/>
      <c r="F214"/>
      <c r="G214"/>
    </row>
    <row r="215" spans="2:7" x14ac:dyDescent="0.3">
      <c r="B215"/>
      <c r="C215"/>
      <c r="D215"/>
      <c r="E215"/>
      <c r="F215"/>
      <c r="G215"/>
    </row>
    <row r="216" spans="2:7" x14ac:dyDescent="0.3">
      <c r="B216"/>
      <c r="C216"/>
      <c r="D216"/>
      <c r="E216"/>
      <c r="F216"/>
      <c r="G216"/>
    </row>
    <row r="217" spans="2:7" x14ac:dyDescent="0.3">
      <c r="B217"/>
      <c r="C217"/>
      <c r="D217"/>
      <c r="E217"/>
      <c r="F217"/>
      <c r="G217"/>
    </row>
    <row r="218" spans="2:7" x14ac:dyDescent="0.3">
      <c r="B218"/>
      <c r="C218"/>
      <c r="D218"/>
      <c r="E218"/>
      <c r="F218"/>
      <c r="G218"/>
    </row>
    <row r="219" spans="2:7" x14ac:dyDescent="0.3">
      <c r="B219"/>
      <c r="C219"/>
      <c r="D219"/>
      <c r="E219"/>
      <c r="F219"/>
      <c r="G219"/>
    </row>
    <row r="220" spans="2:7" x14ac:dyDescent="0.3">
      <c r="B220"/>
      <c r="C220"/>
      <c r="D220"/>
      <c r="E220"/>
      <c r="F220"/>
      <c r="G220"/>
    </row>
    <row r="221" spans="2:7" x14ac:dyDescent="0.3">
      <c r="B221"/>
      <c r="C221"/>
      <c r="D221"/>
      <c r="E221"/>
      <c r="F221"/>
      <c r="G221"/>
    </row>
    <row r="222" spans="2:7" x14ac:dyDescent="0.3">
      <c r="B222"/>
      <c r="C222"/>
      <c r="D222"/>
      <c r="E222"/>
      <c r="F222"/>
      <c r="G222"/>
    </row>
    <row r="223" spans="2:7" x14ac:dyDescent="0.3">
      <c r="B223"/>
      <c r="C223"/>
      <c r="D223"/>
      <c r="E223"/>
      <c r="F223"/>
      <c r="G223"/>
    </row>
    <row r="224" spans="2:7" x14ac:dyDescent="0.3">
      <c r="B224"/>
      <c r="C224"/>
      <c r="D224"/>
      <c r="E224"/>
      <c r="F224"/>
      <c r="G224"/>
    </row>
    <row r="225" spans="2:7" x14ac:dyDescent="0.3">
      <c r="B225"/>
      <c r="C225"/>
      <c r="D225"/>
      <c r="E225"/>
      <c r="F225"/>
      <c r="G225"/>
    </row>
    <row r="226" spans="2:7" x14ac:dyDescent="0.3">
      <c r="B226"/>
      <c r="C226"/>
      <c r="D226"/>
      <c r="E226"/>
      <c r="F226"/>
      <c r="G226"/>
    </row>
    <row r="227" spans="2:7" x14ac:dyDescent="0.3">
      <c r="B227"/>
      <c r="C227"/>
      <c r="D227"/>
      <c r="E227"/>
      <c r="F227"/>
      <c r="G227"/>
    </row>
    <row r="228" spans="2:7" x14ac:dyDescent="0.3">
      <c r="B228"/>
      <c r="C228"/>
      <c r="D228"/>
      <c r="E228"/>
      <c r="F228"/>
      <c r="G228"/>
    </row>
    <row r="229" spans="2:7" x14ac:dyDescent="0.3">
      <c r="B229"/>
      <c r="C229"/>
      <c r="D229"/>
      <c r="E229"/>
      <c r="F229"/>
      <c r="G229"/>
    </row>
    <row r="230" spans="2:7" x14ac:dyDescent="0.3">
      <c r="B230"/>
      <c r="C230"/>
      <c r="D230"/>
      <c r="E230"/>
      <c r="F230"/>
      <c r="G230"/>
    </row>
    <row r="231" spans="2:7" x14ac:dyDescent="0.3">
      <c r="B231"/>
      <c r="C231"/>
      <c r="D231"/>
      <c r="E231"/>
      <c r="F231"/>
      <c r="G231"/>
    </row>
    <row r="232" spans="2:7" x14ac:dyDescent="0.3">
      <c r="B232"/>
      <c r="C232"/>
      <c r="D232"/>
      <c r="E232"/>
      <c r="F232"/>
      <c r="G232"/>
    </row>
    <row r="233" spans="2:7" x14ac:dyDescent="0.3">
      <c r="B233"/>
      <c r="C233"/>
      <c r="D233"/>
      <c r="E233"/>
      <c r="F233"/>
      <c r="G233"/>
    </row>
    <row r="234" spans="2:7" x14ac:dyDescent="0.3">
      <c r="B234"/>
      <c r="C234"/>
      <c r="D234"/>
      <c r="E234"/>
      <c r="F234"/>
      <c r="G234"/>
    </row>
    <row r="235" spans="2:7" x14ac:dyDescent="0.3">
      <c r="B235"/>
      <c r="C235"/>
      <c r="D235"/>
      <c r="E235"/>
      <c r="F235"/>
      <c r="G235"/>
    </row>
    <row r="236" spans="2:7" x14ac:dyDescent="0.3">
      <c r="B236"/>
      <c r="C236"/>
      <c r="D236"/>
      <c r="E236"/>
      <c r="F236"/>
      <c r="G236"/>
    </row>
    <row r="237" spans="2:7" x14ac:dyDescent="0.3">
      <c r="B237"/>
      <c r="C237"/>
      <c r="D237"/>
      <c r="E237"/>
      <c r="F237"/>
      <c r="G237"/>
    </row>
    <row r="238" spans="2:7" x14ac:dyDescent="0.3">
      <c r="B238"/>
      <c r="C238"/>
      <c r="D238"/>
      <c r="E238"/>
      <c r="F238"/>
      <c r="G238"/>
    </row>
    <row r="239" spans="2:7" x14ac:dyDescent="0.3">
      <c r="B239"/>
      <c r="C239"/>
      <c r="D239"/>
      <c r="E239"/>
      <c r="F239"/>
      <c r="G239"/>
    </row>
    <row r="240" spans="2:7" x14ac:dyDescent="0.3">
      <c r="B240"/>
      <c r="C240"/>
      <c r="D240"/>
      <c r="E240"/>
      <c r="F240"/>
      <c r="G240"/>
    </row>
    <row r="241" spans="2:7" x14ac:dyDescent="0.3">
      <c r="B241"/>
      <c r="C241"/>
      <c r="D241"/>
      <c r="E241"/>
      <c r="F241"/>
      <c r="G241"/>
    </row>
    <row r="242" spans="2:7" x14ac:dyDescent="0.3">
      <c r="B242"/>
      <c r="C242"/>
      <c r="D242"/>
      <c r="E242"/>
      <c r="F242"/>
      <c r="G242"/>
    </row>
    <row r="243" spans="2:7" x14ac:dyDescent="0.3">
      <c r="B243"/>
      <c r="C243"/>
      <c r="D243"/>
      <c r="E243"/>
      <c r="F243"/>
      <c r="G243"/>
    </row>
    <row r="244" spans="2:7" x14ac:dyDescent="0.3">
      <c r="B244"/>
      <c r="C244"/>
      <c r="D244"/>
      <c r="E244"/>
      <c r="F244"/>
      <c r="G244"/>
    </row>
    <row r="245" spans="2:7" x14ac:dyDescent="0.3">
      <c r="B245"/>
      <c r="C245"/>
      <c r="D245"/>
      <c r="E245"/>
      <c r="F245"/>
      <c r="G245"/>
    </row>
    <row r="246" spans="2:7" x14ac:dyDescent="0.3">
      <c r="B246"/>
      <c r="C246"/>
      <c r="D246"/>
      <c r="E246"/>
      <c r="F246"/>
      <c r="G246"/>
    </row>
    <row r="247" spans="2:7" x14ac:dyDescent="0.3">
      <c r="B247"/>
      <c r="C247"/>
      <c r="D247"/>
      <c r="E247"/>
      <c r="F247"/>
      <c r="G247"/>
    </row>
    <row r="248" spans="2:7" x14ac:dyDescent="0.3">
      <c r="B248"/>
      <c r="C248"/>
      <c r="D248"/>
      <c r="E248"/>
      <c r="F248"/>
      <c r="G248"/>
    </row>
    <row r="249" spans="2:7" x14ac:dyDescent="0.3">
      <c r="B249"/>
      <c r="C249"/>
      <c r="D249"/>
      <c r="E249"/>
      <c r="F249"/>
      <c r="G249"/>
    </row>
    <row r="250" spans="2:7" x14ac:dyDescent="0.3">
      <c r="B250"/>
      <c r="C250"/>
      <c r="D250"/>
      <c r="E250"/>
      <c r="F250"/>
      <c r="G250"/>
    </row>
    <row r="251" spans="2:7" x14ac:dyDescent="0.3">
      <c r="B251"/>
      <c r="C251"/>
      <c r="D251"/>
      <c r="E251"/>
      <c r="F251"/>
      <c r="G251"/>
    </row>
    <row r="252" spans="2:7" x14ac:dyDescent="0.3">
      <c r="B252"/>
      <c r="C252"/>
      <c r="D252"/>
      <c r="E252"/>
      <c r="F252"/>
      <c r="G252"/>
    </row>
    <row r="253" spans="2:7" x14ac:dyDescent="0.3">
      <c r="B253"/>
      <c r="C253"/>
      <c r="D253"/>
      <c r="E253"/>
      <c r="F253"/>
      <c r="G253"/>
    </row>
    <row r="254" spans="2:7" x14ac:dyDescent="0.3">
      <c r="B254"/>
      <c r="C254"/>
      <c r="D254"/>
      <c r="E254"/>
      <c r="F254"/>
      <c r="G254"/>
    </row>
    <row r="255" spans="2:7" x14ac:dyDescent="0.3">
      <c r="B255"/>
      <c r="C255"/>
      <c r="D255"/>
      <c r="E255"/>
      <c r="F255"/>
      <c r="G255"/>
    </row>
    <row r="256" spans="2:7" x14ac:dyDescent="0.3">
      <c r="B256"/>
      <c r="C256"/>
      <c r="D256"/>
      <c r="E256"/>
      <c r="F256"/>
      <c r="G256"/>
    </row>
    <row r="257" spans="2:7" x14ac:dyDescent="0.3">
      <c r="B257"/>
      <c r="C257"/>
      <c r="D257"/>
      <c r="E257"/>
      <c r="F257"/>
      <c r="G257"/>
    </row>
    <row r="258" spans="2:7" x14ac:dyDescent="0.3">
      <c r="B258"/>
      <c r="C258"/>
      <c r="D258"/>
      <c r="E258"/>
      <c r="F258"/>
      <c r="G258"/>
    </row>
    <row r="259" spans="2:7" x14ac:dyDescent="0.3">
      <c r="B259"/>
      <c r="C259"/>
      <c r="D259"/>
      <c r="E259"/>
      <c r="F259"/>
      <c r="G259"/>
    </row>
    <row r="260" spans="2:7" x14ac:dyDescent="0.3">
      <c r="B260"/>
      <c r="C260"/>
      <c r="D260"/>
      <c r="E260"/>
      <c r="F260"/>
      <c r="G260"/>
    </row>
    <row r="261" spans="2:7" x14ac:dyDescent="0.3">
      <c r="B261"/>
      <c r="C261"/>
      <c r="D261"/>
      <c r="E261"/>
      <c r="F261"/>
      <c r="G261"/>
    </row>
    <row r="262" spans="2:7" x14ac:dyDescent="0.3">
      <c r="B262"/>
      <c r="C262"/>
      <c r="D262"/>
      <c r="E262"/>
      <c r="F262"/>
      <c r="G262"/>
    </row>
    <row r="263" spans="2:7" x14ac:dyDescent="0.3">
      <c r="B263"/>
      <c r="C263"/>
      <c r="D263"/>
      <c r="E263"/>
      <c r="F263"/>
      <c r="G263"/>
    </row>
    <row r="264" spans="2:7" x14ac:dyDescent="0.3">
      <c r="B264"/>
      <c r="C264"/>
      <c r="D264"/>
      <c r="E264"/>
      <c r="F264"/>
      <c r="G264"/>
    </row>
    <row r="265" spans="2:7" x14ac:dyDescent="0.3">
      <c r="B265"/>
      <c r="C265"/>
      <c r="D265"/>
      <c r="E265"/>
      <c r="F265"/>
      <c r="G265"/>
    </row>
    <row r="266" spans="2:7" x14ac:dyDescent="0.3">
      <c r="B266"/>
      <c r="C266"/>
      <c r="D266"/>
      <c r="E266"/>
      <c r="F266"/>
      <c r="G266"/>
    </row>
    <row r="267" spans="2:7" x14ac:dyDescent="0.3">
      <c r="B267"/>
      <c r="C267"/>
      <c r="D267"/>
      <c r="E267"/>
      <c r="F267"/>
      <c r="G267"/>
    </row>
    <row r="268" spans="2:7" x14ac:dyDescent="0.3">
      <c r="B268"/>
      <c r="C268"/>
      <c r="D268"/>
      <c r="E268"/>
      <c r="F268"/>
      <c r="G268"/>
    </row>
    <row r="269" spans="2:7" x14ac:dyDescent="0.3">
      <c r="B269"/>
      <c r="C269"/>
      <c r="D269"/>
      <c r="E269"/>
      <c r="F269"/>
      <c r="G269"/>
    </row>
    <row r="270" spans="2:7" x14ac:dyDescent="0.3">
      <c r="B270"/>
      <c r="C270"/>
      <c r="D270"/>
      <c r="E270"/>
      <c r="F270"/>
      <c r="G270"/>
    </row>
    <row r="271" spans="2:7" x14ac:dyDescent="0.3">
      <c r="B271"/>
      <c r="C271"/>
      <c r="D271"/>
      <c r="E271"/>
      <c r="F271"/>
      <c r="G271"/>
    </row>
    <row r="272" spans="2:7" x14ac:dyDescent="0.3">
      <c r="B272"/>
      <c r="C272"/>
      <c r="D272"/>
      <c r="E272"/>
      <c r="F272"/>
      <c r="G272"/>
    </row>
    <row r="273" spans="2:7" x14ac:dyDescent="0.3">
      <c r="B273"/>
      <c r="C273"/>
      <c r="D273"/>
      <c r="E273"/>
      <c r="F273"/>
      <c r="G273"/>
    </row>
    <row r="274" spans="2:7" x14ac:dyDescent="0.3">
      <c r="B274"/>
      <c r="C274"/>
      <c r="D274"/>
      <c r="E274"/>
      <c r="F274"/>
      <c r="G274"/>
    </row>
    <row r="275" spans="2:7" x14ac:dyDescent="0.3">
      <c r="B275"/>
      <c r="C275"/>
      <c r="D275"/>
      <c r="E275"/>
      <c r="F275"/>
      <c r="G275"/>
    </row>
    <row r="276" spans="2:7" x14ac:dyDescent="0.3">
      <c r="B276"/>
      <c r="C276"/>
      <c r="D276"/>
      <c r="E276"/>
      <c r="F276"/>
      <c r="G276"/>
    </row>
    <row r="277" spans="2:7" x14ac:dyDescent="0.3">
      <c r="B277"/>
      <c r="C277"/>
      <c r="D277"/>
      <c r="E277"/>
      <c r="F277"/>
      <c r="G277"/>
    </row>
    <row r="278" spans="2:7" x14ac:dyDescent="0.3">
      <c r="B278"/>
      <c r="C278"/>
      <c r="D278"/>
      <c r="E278"/>
      <c r="F278"/>
      <c r="G278"/>
    </row>
    <row r="279" spans="2:7" x14ac:dyDescent="0.3">
      <c r="B279"/>
      <c r="C279"/>
      <c r="D279"/>
      <c r="E279"/>
      <c r="F279"/>
      <c r="G279"/>
    </row>
    <row r="280" spans="2:7" x14ac:dyDescent="0.3">
      <c r="B280"/>
      <c r="C280"/>
      <c r="D280"/>
      <c r="E280"/>
      <c r="F280"/>
      <c r="G280"/>
    </row>
    <row r="281" spans="2:7" x14ac:dyDescent="0.3">
      <c r="B281"/>
      <c r="C281"/>
      <c r="D281"/>
      <c r="E281"/>
      <c r="F281"/>
      <c r="G281"/>
    </row>
    <row r="282" spans="2:7" x14ac:dyDescent="0.3">
      <c r="B282"/>
      <c r="C282"/>
      <c r="D282"/>
      <c r="E282"/>
      <c r="F282"/>
      <c r="G282"/>
    </row>
    <row r="283" spans="2:7" x14ac:dyDescent="0.3">
      <c r="B283"/>
      <c r="C283"/>
      <c r="D283"/>
      <c r="E283"/>
      <c r="F283"/>
      <c r="G283"/>
    </row>
    <row r="284" spans="2:7" x14ac:dyDescent="0.3">
      <c r="B284"/>
      <c r="C284"/>
      <c r="D284"/>
      <c r="E284"/>
      <c r="F284"/>
      <c r="G284"/>
    </row>
    <row r="285" spans="2:7" x14ac:dyDescent="0.3">
      <c r="B285"/>
      <c r="C285"/>
      <c r="D285"/>
      <c r="E285"/>
      <c r="F285"/>
      <c r="G285"/>
    </row>
    <row r="286" spans="2:7" x14ac:dyDescent="0.3">
      <c r="B286"/>
      <c r="C286"/>
      <c r="D286"/>
      <c r="E286"/>
      <c r="F286"/>
      <c r="G286"/>
    </row>
    <row r="287" spans="2:7" x14ac:dyDescent="0.3">
      <c r="B287"/>
      <c r="C287"/>
      <c r="D287"/>
      <c r="E287"/>
      <c r="F287"/>
      <c r="G287"/>
    </row>
    <row r="288" spans="2:7" x14ac:dyDescent="0.3">
      <c r="B288"/>
      <c r="C288"/>
      <c r="D288"/>
      <c r="E288"/>
      <c r="F288"/>
      <c r="G288"/>
    </row>
    <row r="289" spans="2:7" x14ac:dyDescent="0.3">
      <c r="B289"/>
      <c r="C289"/>
      <c r="D289"/>
      <c r="E289"/>
      <c r="F289"/>
      <c r="G289"/>
    </row>
    <row r="290" spans="2:7" x14ac:dyDescent="0.3">
      <c r="B290"/>
      <c r="C290"/>
      <c r="D290"/>
      <c r="E290"/>
      <c r="F290"/>
      <c r="G290"/>
    </row>
    <row r="291" spans="2:7" x14ac:dyDescent="0.3">
      <c r="B291"/>
      <c r="C291"/>
      <c r="D291"/>
      <c r="E291"/>
      <c r="F291"/>
      <c r="G291"/>
    </row>
    <row r="292" spans="2:7" x14ac:dyDescent="0.3">
      <c r="B292"/>
      <c r="C292"/>
      <c r="D292"/>
      <c r="E292"/>
      <c r="F292"/>
      <c r="G292"/>
    </row>
    <row r="293" spans="2:7" x14ac:dyDescent="0.3">
      <c r="B293"/>
      <c r="C293"/>
      <c r="D293"/>
      <c r="E293"/>
      <c r="F293"/>
      <c r="G293"/>
    </row>
    <row r="294" spans="2:7" x14ac:dyDescent="0.3">
      <c r="B294"/>
      <c r="C294"/>
      <c r="D294"/>
      <c r="E294"/>
      <c r="F294"/>
      <c r="G294"/>
    </row>
    <row r="295" spans="2:7" x14ac:dyDescent="0.3">
      <c r="B295"/>
      <c r="C295"/>
      <c r="D295"/>
      <c r="E295"/>
      <c r="F295"/>
      <c r="G295"/>
    </row>
    <row r="296" spans="2:7" x14ac:dyDescent="0.3">
      <c r="B296"/>
      <c r="C296"/>
      <c r="D296"/>
      <c r="E296"/>
      <c r="F296"/>
      <c r="G296"/>
    </row>
    <row r="297" spans="2:7" x14ac:dyDescent="0.3">
      <c r="B297"/>
      <c r="C297"/>
      <c r="D297"/>
      <c r="E297"/>
      <c r="F297"/>
      <c r="G297"/>
    </row>
    <row r="298" spans="2:7" x14ac:dyDescent="0.3">
      <c r="B298"/>
      <c r="C298"/>
      <c r="D298"/>
      <c r="E298"/>
      <c r="F298"/>
      <c r="G298"/>
    </row>
    <row r="299" spans="2:7" x14ac:dyDescent="0.3">
      <c r="B299"/>
      <c r="C299"/>
      <c r="D299"/>
      <c r="E299"/>
      <c r="F299"/>
      <c r="G299"/>
    </row>
    <row r="300" spans="2:7" x14ac:dyDescent="0.3">
      <c r="B300"/>
      <c r="C300"/>
      <c r="D300"/>
      <c r="E300"/>
      <c r="F300"/>
      <c r="G300"/>
    </row>
    <row r="301" spans="2:7" x14ac:dyDescent="0.3">
      <c r="B301"/>
      <c r="C301"/>
      <c r="D301"/>
      <c r="E301"/>
      <c r="F301"/>
      <c r="G301"/>
    </row>
    <row r="302" spans="2:7" x14ac:dyDescent="0.3">
      <c r="B302"/>
      <c r="C302"/>
      <c r="D302"/>
      <c r="E302"/>
      <c r="F302"/>
      <c r="G302"/>
    </row>
    <row r="303" spans="2:7" x14ac:dyDescent="0.3">
      <c r="B303"/>
      <c r="C303"/>
      <c r="D303"/>
      <c r="E303"/>
      <c r="F303"/>
      <c r="G303"/>
    </row>
    <row r="304" spans="2:7" x14ac:dyDescent="0.3">
      <c r="B304"/>
      <c r="C304"/>
      <c r="D304"/>
      <c r="E304"/>
      <c r="F304"/>
      <c r="G304"/>
    </row>
    <row r="305" spans="2:7" x14ac:dyDescent="0.3">
      <c r="B305"/>
      <c r="C305"/>
      <c r="D305"/>
      <c r="E305"/>
      <c r="F305"/>
      <c r="G305"/>
    </row>
    <row r="306" spans="2:7" x14ac:dyDescent="0.3">
      <c r="B306"/>
      <c r="C306"/>
      <c r="D306"/>
      <c r="E306"/>
      <c r="F306"/>
      <c r="G306"/>
    </row>
    <row r="307" spans="2:7" x14ac:dyDescent="0.3">
      <c r="B307"/>
      <c r="C307"/>
      <c r="D307"/>
      <c r="E307"/>
      <c r="F307"/>
      <c r="G307"/>
    </row>
    <row r="308" spans="2:7" x14ac:dyDescent="0.3">
      <c r="B308"/>
      <c r="C308"/>
      <c r="D308"/>
      <c r="E308"/>
      <c r="F308"/>
      <c r="G308"/>
    </row>
    <row r="309" spans="2:7" x14ac:dyDescent="0.3">
      <c r="B309"/>
      <c r="C309"/>
      <c r="D309"/>
      <c r="E309"/>
      <c r="F309"/>
      <c r="G309"/>
    </row>
    <row r="310" spans="2:7" x14ac:dyDescent="0.3">
      <c r="B310"/>
      <c r="C310"/>
      <c r="D310"/>
      <c r="E310"/>
      <c r="F310"/>
      <c r="G310"/>
    </row>
    <row r="311" spans="2:7" x14ac:dyDescent="0.3">
      <c r="B311"/>
      <c r="C311"/>
      <c r="D311"/>
      <c r="E311"/>
      <c r="F311"/>
      <c r="G311"/>
    </row>
    <row r="312" spans="2:7" x14ac:dyDescent="0.3">
      <c r="B312"/>
      <c r="C312"/>
      <c r="D312"/>
      <c r="E312"/>
      <c r="F312"/>
      <c r="G312"/>
    </row>
    <row r="313" spans="2:7" x14ac:dyDescent="0.3">
      <c r="B313"/>
      <c r="C313"/>
      <c r="D313"/>
      <c r="E313"/>
      <c r="F313"/>
      <c r="G313"/>
    </row>
    <row r="314" spans="2:7" x14ac:dyDescent="0.3">
      <c r="B314"/>
      <c r="C314"/>
      <c r="D314"/>
      <c r="E314"/>
      <c r="F314"/>
      <c r="G314"/>
    </row>
    <row r="315" spans="2:7" x14ac:dyDescent="0.3">
      <c r="B315"/>
      <c r="C315"/>
      <c r="D315"/>
      <c r="E315"/>
      <c r="F315"/>
      <c r="G315"/>
    </row>
    <row r="316" spans="2:7" x14ac:dyDescent="0.3">
      <c r="B316"/>
      <c r="C316"/>
      <c r="D316"/>
      <c r="E316"/>
      <c r="F316"/>
      <c r="G316"/>
    </row>
    <row r="317" spans="2:7" x14ac:dyDescent="0.3">
      <c r="B317"/>
      <c r="C317"/>
      <c r="D317"/>
      <c r="E317"/>
      <c r="F317"/>
      <c r="G317"/>
    </row>
    <row r="318" spans="2:7" x14ac:dyDescent="0.3">
      <c r="B318"/>
      <c r="C318"/>
      <c r="D318"/>
      <c r="E318"/>
      <c r="F318"/>
      <c r="G318"/>
    </row>
    <row r="319" spans="2:7" x14ac:dyDescent="0.3">
      <c r="B319"/>
      <c r="C319"/>
      <c r="D319"/>
      <c r="E319"/>
      <c r="F319"/>
      <c r="G319"/>
    </row>
    <row r="320" spans="2:7" x14ac:dyDescent="0.3">
      <c r="B320"/>
      <c r="C320"/>
      <c r="D320"/>
      <c r="E320"/>
      <c r="F320"/>
      <c r="G320"/>
    </row>
    <row r="321" spans="2:7" x14ac:dyDescent="0.3">
      <c r="B321"/>
      <c r="C321"/>
      <c r="D321"/>
      <c r="E321"/>
      <c r="F321"/>
      <c r="G321"/>
    </row>
    <row r="322" spans="2:7" x14ac:dyDescent="0.3">
      <c r="B322"/>
      <c r="C322"/>
      <c r="D322"/>
      <c r="E322"/>
      <c r="F322"/>
      <c r="G322"/>
    </row>
    <row r="323" spans="2:7" x14ac:dyDescent="0.3">
      <c r="B323"/>
      <c r="C323"/>
      <c r="D323"/>
      <c r="E323"/>
      <c r="F323"/>
      <c r="G323"/>
    </row>
    <row r="324" spans="2:7" x14ac:dyDescent="0.3">
      <c r="B324"/>
      <c r="C324"/>
      <c r="D324"/>
      <c r="E324"/>
      <c r="F324"/>
      <c r="G324"/>
    </row>
    <row r="325" spans="2:7" x14ac:dyDescent="0.3">
      <c r="B325"/>
      <c r="C325"/>
      <c r="D325"/>
      <c r="E325"/>
      <c r="F325"/>
      <c r="G325"/>
    </row>
    <row r="326" spans="2:7" x14ac:dyDescent="0.3">
      <c r="B326"/>
      <c r="C326"/>
      <c r="D326"/>
      <c r="E326"/>
      <c r="F326"/>
      <c r="G326"/>
    </row>
    <row r="327" spans="2:7" x14ac:dyDescent="0.3">
      <c r="B327"/>
      <c r="C327"/>
      <c r="D327"/>
      <c r="E327"/>
      <c r="F327"/>
      <c r="G327"/>
    </row>
    <row r="328" spans="2:7" x14ac:dyDescent="0.3">
      <c r="B328"/>
      <c r="C328"/>
      <c r="D328"/>
      <c r="E328"/>
      <c r="F328"/>
      <c r="G328"/>
    </row>
    <row r="329" spans="2:7" x14ac:dyDescent="0.3">
      <c r="B329"/>
      <c r="C329"/>
      <c r="D329"/>
      <c r="E329"/>
      <c r="F329"/>
      <c r="G329"/>
    </row>
    <row r="330" spans="2:7" x14ac:dyDescent="0.3">
      <c r="B330"/>
      <c r="C330"/>
      <c r="D330"/>
      <c r="E330"/>
      <c r="F330"/>
      <c r="G330"/>
    </row>
    <row r="331" spans="2:7" x14ac:dyDescent="0.3">
      <c r="B331"/>
      <c r="C331"/>
      <c r="D331"/>
      <c r="E331"/>
      <c r="F331"/>
      <c r="G331"/>
    </row>
    <row r="332" spans="2:7" x14ac:dyDescent="0.3">
      <c r="B332"/>
      <c r="C332"/>
      <c r="D332"/>
      <c r="E332"/>
      <c r="F332"/>
      <c r="G332"/>
    </row>
    <row r="333" spans="2:7" x14ac:dyDescent="0.3">
      <c r="B333"/>
      <c r="C333"/>
      <c r="D333"/>
      <c r="E333"/>
      <c r="F333"/>
      <c r="G333"/>
    </row>
    <row r="334" spans="2:7" x14ac:dyDescent="0.3">
      <c r="B334"/>
      <c r="C334"/>
      <c r="D334"/>
      <c r="E334"/>
      <c r="F334"/>
      <c r="G334"/>
    </row>
    <row r="335" spans="2:7" x14ac:dyDescent="0.3">
      <c r="B335"/>
      <c r="C335"/>
      <c r="D335"/>
      <c r="E335"/>
      <c r="F335"/>
      <c r="G335"/>
    </row>
    <row r="336" spans="2:7" x14ac:dyDescent="0.3">
      <c r="B336"/>
      <c r="C336"/>
      <c r="D336"/>
      <c r="E336"/>
      <c r="F336"/>
      <c r="G336"/>
    </row>
    <row r="337" spans="2:7" x14ac:dyDescent="0.3">
      <c r="B337"/>
      <c r="C337"/>
      <c r="D337"/>
      <c r="E337"/>
      <c r="F337"/>
      <c r="G337"/>
    </row>
    <row r="338" spans="2:7" x14ac:dyDescent="0.3">
      <c r="B338"/>
      <c r="C338"/>
      <c r="D338"/>
      <c r="E338"/>
      <c r="F338"/>
      <c r="G338"/>
    </row>
    <row r="339" spans="2:7" x14ac:dyDescent="0.3">
      <c r="B339"/>
      <c r="C339"/>
      <c r="D339"/>
      <c r="E339"/>
      <c r="F339"/>
      <c r="G339"/>
    </row>
    <row r="340" spans="2:7" x14ac:dyDescent="0.3">
      <c r="B340"/>
      <c r="C340"/>
      <c r="D340"/>
      <c r="E340"/>
      <c r="F340"/>
      <c r="G340"/>
    </row>
    <row r="341" spans="2:7" x14ac:dyDescent="0.3">
      <c r="B341"/>
      <c r="C341"/>
      <c r="D341"/>
      <c r="E341"/>
      <c r="F341"/>
      <c r="G341"/>
    </row>
    <row r="342" spans="2:7" x14ac:dyDescent="0.3">
      <c r="B342"/>
      <c r="C342"/>
      <c r="D342"/>
      <c r="E342"/>
      <c r="F342"/>
      <c r="G342"/>
    </row>
    <row r="343" spans="2:7" x14ac:dyDescent="0.3">
      <c r="B343"/>
      <c r="C343"/>
      <c r="D343"/>
      <c r="E343"/>
      <c r="F343"/>
      <c r="G343"/>
    </row>
    <row r="344" spans="2:7" x14ac:dyDescent="0.3">
      <c r="B344"/>
      <c r="C344"/>
      <c r="D344"/>
      <c r="E344"/>
      <c r="F344"/>
      <c r="G344"/>
    </row>
    <row r="345" spans="2:7" x14ac:dyDescent="0.3">
      <c r="B345"/>
      <c r="C345"/>
      <c r="D345"/>
      <c r="E345"/>
      <c r="F345"/>
      <c r="G345"/>
    </row>
    <row r="346" spans="2:7" x14ac:dyDescent="0.3">
      <c r="B346"/>
      <c r="C346"/>
      <c r="D346"/>
      <c r="E346"/>
      <c r="F346"/>
      <c r="G346"/>
    </row>
    <row r="347" spans="2:7" x14ac:dyDescent="0.3">
      <c r="B347"/>
      <c r="C347"/>
      <c r="D347"/>
      <c r="E347"/>
      <c r="F347"/>
      <c r="G347"/>
    </row>
    <row r="348" spans="2:7" x14ac:dyDescent="0.3">
      <c r="B348"/>
      <c r="C348"/>
      <c r="D348"/>
      <c r="E348"/>
      <c r="F348"/>
      <c r="G348"/>
    </row>
    <row r="349" spans="2:7" x14ac:dyDescent="0.3">
      <c r="B349"/>
      <c r="C349"/>
      <c r="D349"/>
      <c r="E349"/>
      <c r="F349"/>
      <c r="G349"/>
    </row>
    <row r="350" spans="2:7" x14ac:dyDescent="0.3">
      <c r="B350"/>
      <c r="C350"/>
      <c r="D350"/>
      <c r="E350"/>
      <c r="F350"/>
      <c r="G350"/>
    </row>
    <row r="351" spans="2:7" x14ac:dyDescent="0.3">
      <c r="B351"/>
      <c r="C351"/>
      <c r="D351"/>
      <c r="E351"/>
      <c r="F351"/>
      <c r="G351"/>
    </row>
    <row r="352" spans="2:7" x14ac:dyDescent="0.3">
      <c r="B352"/>
      <c r="C352"/>
      <c r="D352"/>
      <c r="E352"/>
      <c r="F352"/>
      <c r="G352"/>
    </row>
    <row r="353" spans="2:7" x14ac:dyDescent="0.3">
      <c r="B353"/>
      <c r="C353"/>
      <c r="D353"/>
      <c r="E353"/>
      <c r="F353"/>
      <c r="G353"/>
    </row>
    <row r="354" spans="2:7" x14ac:dyDescent="0.3">
      <c r="B354"/>
      <c r="C354"/>
      <c r="D354"/>
      <c r="E354"/>
      <c r="F354"/>
      <c r="G354"/>
    </row>
    <row r="355" spans="2:7" x14ac:dyDescent="0.3">
      <c r="B355"/>
      <c r="C355"/>
      <c r="D355"/>
      <c r="E355"/>
      <c r="F355"/>
      <c r="G355"/>
    </row>
    <row r="356" spans="2:7" x14ac:dyDescent="0.3">
      <c r="B356"/>
      <c r="C356"/>
      <c r="D356"/>
      <c r="E356"/>
      <c r="F356"/>
      <c r="G356"/>
    </row>
    <row r="357" spans="2:7" x14ac:dyDescent="0.3">
      <c r="B357"/>
      <c r="C357"/>
      <c r="D357"/>
      <c r="E357"/>
      <c r="F357"/>
      <c r="G357"/>
    </row>
    <row r="358" spans="2:7" x14ac:dyDescent="0.3">
      <c r="B358"/>
      <c r="C358"/>
      <c r="D358"/>
      <c r="E358"/>
      <c r="F358"/>
      <c r="G358"/>
    </row>
    <row r="359" spans="2:7" x14ac:dyDescent="0.3">
      <c r="B359"/>
      <c r="C359"/>
      <c r="D359"/>
      <c r="E359"/>
      <c r="F359"/>
      <c r="G359"/>
    </row>
    <row r="360" spans="2:7" x14ac:dyDescent="0.3">
      <c r="B360"/>
      <c r="C360"/>
      <c r="D360"/>
      <c r="E360"/>
      <c r="F360"/>
      <c r="G360"/>
    </row>
    <row r="361" spans="2:7" x14ac:dyDescent="0.3">
      <c r="B361"/>
      <c r="C361"/>
      <c r="D361"/>
      <c r="E361"/>
      <c r="F361"/>
      <c r="G361"/>
    </row>
    <row r="362" spans="2:7" x14ac:dyDescent="0.3">
      <c r="B362"/>
      <c r="C362"/>
      <c r="D362"/>
      <c r="E362"/>
      <c r="F362"/>
      <c r="G362"/>
    </row>
    <row r="363" spans="2:7" x14ac:dyDescent="0.3">
      <c r="B363"/>
      <c r="C363"/>
      <c r="D363"/>
      <c r="E363"/>
      <c r="F363"/>
      <c r="G363"/>
    </row>
    <row r="364" spans="2:7" x14ac:dyDescent="0.3">
      <c r="B364"/>
      <c r="C364"/>
      <c r="D364"/>
      <c r="E364"/>
      <c r="F364"/>
      <c r="G364"/>
    </row>
    <row r="365" spans="2:7" x14ac:dyDescent="0.3">
      <c r="B365"/>
      <c r="C365"/>
      <c r="D365"/>
      <c r="E365"/>
      <c r="F365"/>
      <c r="G365"/>
    </row>
    <row r="366" spans="2:7" x14ac:dyDescent="0.3">
      <c r="B366"/>
      <c r="C366"/>
      <c r="D366"/>
      <c r="E366"/>
      <c r="F366"/>
      <c r="G366"/>
    </row>
    <row r="367" spans="2:7" x14ac:dyDescent="0.3">
      <c r="B367"/>
      <c r="C367"/>
      <c r="D367"/>
      <c r="E367"/>
      <c r="F367"/>
      <c r="G367"/>
    </row>
    <row r="368" spans="2:7" x14ac:dyDescent="0.3">
      <c r="B368"/>
      <c r="C368"/>
      <c r="D368"/>
      <c r="E368"/>
      <c r="F368"/>
      <c r="G368"/>
    </row>
    <row r="369" spans="2:7" x14ac:dyDescent="0.3">
      <c r="B369"/>
      <c r="C369"/>
      <c r="D369"/>
      <c r="E369"/>
      <c r="F369"/>
      <c r="G369"/>
    </row>
    <row r="370" spans="2:7" x14ac:dyDescent="0.3">
      <c r="B370"/>
      <c r="C370"/>
      <c r="D370"/>
      <c r="E370"/>
      <c r="F370"/>
      <c r="G370"/>
    </row>
    <row r="371" spans="2:7" x14ac:dyDescent="0.3">
      <c r="B371"/>
      <c r="C371"/>
      <c r="D371"/>
      <c r="E371"/>
      <c r="F371"/>
      <c r="G371"/>
    </row>
    <row r="372" spans="2:7" x14ac:dyDescent="0.3">
      <c r="B372"/>
      <c r="C372"/>
      <c r="D372"/>
      <c r="E372"/>
      <c r="F372"/>
      <c r="G372"/>
    </row>
    <row r="373" spans="2:7" x14ac:dyDescent="0.3">
      <c r="B373"/>
      <c r="C373"/>
      <c r="D373"/>
      <c r="E373"/>
      <c r="F373"/>
      <c r="G373"/>
    </row>
    <row r="374" spans="2:7" x14ac:dyDescent="0.3">
      <c r="B374"/>
      <c r="C374"/>
      <c r="D374"/>
      <c r="E374"/>
      <c r="F374"/>
      <c r="G374"/>
    </row>
    <row r="375" spans="2:7" x14ac:dyDescent="0.3">
      <c r="B375"/>
      <c r="C375"/>
      <c r="D375"/>
      <c r="E375"/>
      <c r="F375"/>
      <c r="G375"/>
    </row>
    <row r="376" spans="2:7" x14ac:dyDescent="0.3">
      <c r="B376"/>
      <c r="C376"/>
      <c r="D376"/>
      <c r="E376"/>
      <c r="F376"/>
      <c r="G376"/>
    </row>
    <row r="377" spans="2:7" x14ac:dyDescent="0.3">
      <c r="B377"/>
      <c r="C377"/>
      <c r="D377"/>
      <c r="E377"/>
      <c r="F377"/>
      <c r="G377"/>
    </row>
    <row r="378" spans="2:7" x14ac:dyDescent="0.3">
      <c r="B378"/>
      <c r="C378"/>
      <c r="D378"/>
      <c r="E378"/>
      <c r="F378"/>
      <c r="G378"/>
    </row>
    <row r="379" spans="2:7" x14ac:dyDescent="0.3">
      <c r="B379"/>
      <c r="C379"/>
      <c r="D379"/>
      <c r="E379"/>
      <c r="F379"/>
      <c r="G379"/>
    </row>
    <row r="380" spans="2:7" x14ac:dyDescent="0.3">
      <c r="B380"/>
      <c r="C380"/>
      <c r="D380"/>
      <c r="E380"/>
      <c r="F380"/>
      <c r="G380"/>
    </row>
    <row r="381" spans="2:7" x14ac:dyDescent="0.3">
      <c r="B381"/>
      <c r="C381"/>
      <c r="D381"/>
      <c r="E381"/>
      <c r="F381"/>
      <c r="G381"/>
    </row>
    <row r="382" spans="2:7" x14ac:dyDescent="0.3">
      <c r="B382"/>
      <c r="C382"/>
      <c r="D382"/>
      <c r="E382"/>
      <c r="F382"/>
      <c r="G382"/>
    </row>
    <row r="383" spans="2:7" x14ac:dyDescent="0.3">
      <c r="B383"/>
      <c r="C383"/>
      <c r="D383"/>
      <c r="E383"/>
      <c r="F383"/>
      <c r="G383"/>
    </row>
    <row r="384" spans="2:7" x14ac:dyDescent="0.3">
      <c r="B384"/>
      <c r="C384"/>
      <c r="D384"/>
      <c r="E384"/>
      <c r="F384"/>
      <c r="G384"/>
    </row>
    <row r="385" spans="2:7" x14ac:dyDescent="0.3">
      <c r="B385"/>
      <c r="C385"/>
      <c r="D385"/>
      <c r="E385"/>
      <c r="F385"/>
      <c r="G385"/>
    </row>
    <row r="386" spans="2:7" x14ac:dyDescent="0.3">
      <c r="B386"/>
      <c r="C386"/>
      <c r="D386"/>
      <c r="E386"/>
      <c r="F386"/>
      <c r="G386"/>
    </row>
    <row r="387" spans="2:7" x14ac:dyDescent="0.3">
      <c r="B387"/>
      <c r="C387"/>
      <c r="D387"/>
      <c r="E387"/>
      <c r="F387"/>
      <c r="G387"/>
    </row>
    <row r="388" spans="2:7" x14ac:dyDescent="0.3">
      <c r="B388"/>
      <c r="C388"/>
      <c r="D388"/>
      <c r="E388"/>
      <c r="F388"/>
      <c r="G388"/>
    </row>
    <row r="389" spans="2:7" x14ac:dyDescent="0.3">
      <c r="B389"/>
      <c r="C389"/>
      <c r="D389"/>
      <c r="E389"/>
      <c r="F389"/>
      <c r="G389"/>
    </row>
    <row r="390" spans="2:7" x14ac:dyDescent="0.3">
      <c r="B390"/>
      <c r="C390"/>
      <c r="D390"/>
      <c r="E390"/>
      <c r="F390"/>
      <c r="G390"/>
    </row>
    <row r="391" spans="2:7" x14ac:dyDescent="0.3">
      <c r="B391"/>
      <c r="C391"/>
      <c r="D391"/>
      <c r="E391"/>
      <c r="F391"/>
      <c r="G391"/>
    </row>
    <row r="392" spans="2:7" x14ac:dyDescent="0.3">
      <c r="B392"/>
      <c r="C392"/>
      <c r="D392"/>
      <c r="E392"/>
      <c r="F392"/>
      <c r="G392"/>
    </row>
    <row r="393" spans="2:7" x14ac:dyDescent="0.3">
      <c r="B393"/>
      <c r="C393"/>
      <c r="D393"/>
      <c r="E393"/>
      <c r="F393"/>
      <c r="G393"/>
    </row>
    <row r="394" spans="2:7" x14ac:dyDescent="0.3">
      <c r="B394"/>
      <c r="C394"/>
      <c r="D394"/>
      <c r="E394"/>
      <c r="F394"/>
      <c r="G394"/>
    </row>
    <row r="395" spans="2:7" x14ac:dyDescent="0.3">
      <c r="B395"/>
      <c r="C395"/>
      <c r="D395"/>
      <c r="E395"/>
      <c r="F395"/>
      <c r="G395"/>
    </row>
    <row r="396" spans="2:7" x14ac:dyDescent="0.3">
      <c r="B396"/>
      <c r="C396"/>
      <c r="D396"/>
      <c r="E396"/>
      <c r="F396"/>
      <c r="G396"/>
    </row>
    <row r="397" spans="2:7" x14ac:dyDescent="0.3">
      <c r="B397"/>
      <c r="C397"/>
      <c r="D397"/>
      <c r="E397"/>
      <c r="F397"/>
      <c r="G397"/>
    </row>
    <row r="398" spans="2:7" x14ac:dyDescent="0.3">
      <c r="B398"/>
      <c r="C398"/>
      <c r="D398"/>
      <c r="E398"/>
      <c r="F398"/>
      <c r="G398"/>
    </row>
    <row r="399" spans="2:7" x14ac:dyDescent="0.3">
      <c r="B399"/>
      <c r="C399"/>
      <c r="D399"/>
      <c r="E399"/>
      <c r="F399"/>
      <c r="G399"/>
    </row>
    <row r="400" spans="2:7" x14ac:dyDescent="0.3">
      <c r="B400"/>
      <c r="C400"/>
      <c r="D400"/>
      <c r="E400"/>
      <c r="F400"/>
      <c r="G400"/>
    </row>
    <row r="401" spans="2:7" x14ac:dyDescent="0.3">
      <c r="B401"/>
      <c r="C401"/>
      <c r="D401"/>
      <c r="E401"/>
      <c r="F401"/>
      <c r="G401"/>
    </row>
    <row r="402" spans="2:7" x14ac:dyDescent="0.3">
      <c r="B402"/>
      <c r="C402"/>
      <c r="D402"/>
      <c r="E402"/>
      <c r="F402"/>
      <c r="G402"/>
    </row>
    <row r="403" spans="2:7" x14ac:dyDescent="0.3">
      <c r="B403"/>
      <c r="C403"/>
      <c r="D403"/>
      <c r="E403"/>
      <c r="F403"/>
      <c r="G403"/>
    </row>
    <row r="404" spans="2:7" x14ac:dyDescent="0.3">
      <c r="B404"/>
      <c r="C404"/>
      <c r="D404"/>
      <c r="E404"/>
      <c r="F404"/>
      <c r="G404"/>
    </row>
    <row r="405" spans="2:7" x14ac:dyDescent="0.3">
      <c r="B405"/>
      <c r="C405"/>
      <c r="D405"/>
      <c r="E405"/>
      <c r="F405"/>
      <c r="G405"/>
    </row>
    <row r="406" spans="2:7" x14ac:dyDescent="0.3">
      <c r="B406"/>
      <c r="C406"/>
      <c r="D406"/>
      <c r="E406"/>
      <c r="F406"/>
      <c r="G406"/>
    </row>
    <row r="407" spans="2:7" x14ac:dyDescent="0.3">
      <c r="B407"/>
      <c r="C407"/>
      <c r="D407"/>
      <c r="E407"/>
      <c r="F407"/>
      <c r="G407"/>
    </row>
    <row r="408" spans="2:7" x14ac:dyDescent="0.3">
      <c r="B408"/>
      <c r="C408"/>
      <c r="D408"/>
      <c r="E408"/>
      <c r="F408"/>
      <c r="G408"/>
    </row>
    <row r="409" spans="2:7" x14ac:dyDescent="0.3">
      <c r="B409"/>
      <c r="C409"/>
      <c r="D409"/>
      <c r="E409"/>
      <c r="F409"/>
      <c r="G409"/>
    </row>
    <row r="410" spans="2:7" x14ac:dyDescent="0.3">
      <c r="B410"/>
      <c r="C410"/>
      <c r="D410"/>
      <c r="E410"/>
      <c r="F410"/>
      <c r="G410"/>
    </row>
    <row r="411" spans="2:7" x14ac:dyDescent="0.3">
      <c r="B411"/>
      <c r="C411"/>
      <c r="D411"/>
      <c r="E411"/>
      <c r="F411"/>
      <c r="G411"/>
    </row>
    <row r="412" spans="2:7" x14ac:dyDescent="0.3">
      <c r="B412"/>
      <c r="C412"/>
      <c r="D412"/>
      <c r="E412"/>
      <c r="F412"/>
      <c r="G412"/>
    </row>
    <row r="413" spans="2:7" x14ac:dyDescent="0.3">
      <c r="B413"/>
      <c r="C413"/>
      <c r="D413"/>
      <c r="E413"/>
      <c r="F413"/>
      <c r="G413"/>
    </row>
    <row r="414" spans="2:7" x14ac:dyDescent="0.3">
      <c r="B414"/>
      <c r="C414"/>
      <c r="D414"/>
      <c r="E414"/>
      <c r="F414"/>
      <c r="G414"/>
    </row>
    <row r="415" spans="2:7" x14ac:dyDescent="0.3">
      <c r="B415"/>
      <c r="C415"/>
      <c r="D415"/>
      <c r="E415"/>
      <c r="F415"/>
      <c r="G415"/>
    </row>
    <row r="416" spans="2:7" x14ac:dyDescent="0.3">
      <c r="B416"/>
      <c r="C416"/>
      <c r="D416"/>
      <c r="E416"/>
      <c r="F416"/>
      <c r="G416"/>
    </row>
    <row r="417" spans="2:7" x14ac:dyDescent="0.3">
      <c r="B417"/>
      <c r="C417"/>
      <c r="D417"/>
      <c r="E417"/>
      <c r="F417"/>
      <c r="G417"/>
    </row>
    <row r="418" spans="2:7" x14ac:dyDescent="0.3">
      <c r="B418"/>
      <c r="C418"/>
      <c r="D418"/>
      <c r="E418"/>
      <c r="F418"/>
      <c r="G418"/>
    </row>
    <row r="419" spans="2:7" x14ac:dyDescent="0.3">
      <c r="B419"/>
      <c r="C419"/>
      <c r="D419"/>
      <c r="E419"/>
      <c r="F419"/>
      <c r="G419"/>
    </row>
    <row r="420" spans="2:7" x14ac:dyDescent="0.3">
      <c r="B420"/>
      <c r="C420"/>
      <c r="D420"/>
      <c r="E420"/>
      <c r="F420"/>
      <c r="G420"/>
    </row>
    <row r="421" spans="2:7" x14ac:dyDescent="0.3">
      <c r="B421"/>
      <c r="C421"/>
      <c r="D421"/>
      <c r="E421"/>
      <c r="F421"/>
      <c r="G421"/>
    </row>
    <row r="422" spans="2:7" x14ac:dyDescent="0.3">
      <c r="B422"/>
      <c r="C422"/>
      <c r="D422"/>
      <c r="E422"/>
      <c r="F422"/>
      <c r="G422"/>
    </row>
    <row r="423" spans="2:7" x14ac:dyDescent="0.3">
      <c r="B423"/>
      <c r="C423"/>
      <c r="D423"/>
      <c r="E423"/>
      <c r="F423"/>
      <c r="G423"/>
    </row>
    <row r="424" spans="2:7" x14ac:dyDescent="0.3">
      <c r="B424"/>
      <c r="C424"/>
      <c r="D424"/>
      <c r="E424"/>
      <c r="F424"/>
      <c r="G424"/>
    </row>
    <row r="425" spans="2:7" x14ac:dyDescent="0.3">
      <c r="B425"/>
      <c r="C425"/>
      <c r="D425"/>
      <c r="E425"/>
      <c r="F425"/>
      <c r="G425"/>
    </row>
    <row r="426" spans="2:7" x14ac:dyDescent="0.3">
      <c r="B426"/>
      <c r="C426"/>
      <c r="D426"/>
      <c r="E426"/>
      <c r="F426"/>
      <c r="G426"/>
    </row>
    <row r="427" spans="2:7" x14ac:dyDescent="0.3">
      <c r="B427"/>
      <c r="C427"/>
      <c r="D427"/>
      <c r="E427"/>
      <c r="F427"/>
      <c r="G427"/>
    </row>
    <row r="428" spans="2:7" x14ac:dyDescent="0.3">
      <c r="B428"/>
      <c r="C428"/>
      <c r="D428"/>
      <c r="E428"/>
      <c r="F428"/>
      <c r="G428"/>
    </row>
    <row r="429" spans="2:7" x14ac:dyDescent="0.3">
      <c r="B429"/>
      <c r="C429"/>
      <c r="D429"/>
      <c r="E429"/>
      <c r="F429"/>
      <c r="G429"/>
    </row>
    <row r="430" spans="2:7" x14ac:dyDescent="0.3">
      <c r="B430"/>
      <c r="C430"/>
      <c r="D430"/>
      <c r="E430"/>
      <c r="F430"/>
      <c r="G430"/>
    </row>
    <row r="431" spans="2:7" x14ac:dyDescent="0.3">
      <c r="B431"/>
      <c r="C431"/>
      <c r="D431"/>
      <c r="E431"/>
      <c r="F431"/>
      <c r="G431"/>
    </row>
    <row r="432" spans="2:7" x14ac:dyDescent="0.3">
      <c r="B432"/>
      <c r="C432"/>
      <c r="D432"/>
      <c r="E432"/>
      <c r="F432"/>
      <c r="G432"/>
    </row>
    <row r="433" spans="2:7" x14ac:dyDescent="0.3">
      <c r="B433"/>
      <c r="C433"/>
      <c r="D433"/>
      <c r="E433"/>
      <c r="F433"/>
      <c r="G433"/>
    </row>
    <row r="434" spans="2:7" x14ac:dyDescent="0.3">
      <c r="B434"/>
      <c r="C434"/>
      <c r="D434"/>
      <c r="E434"/>
      <c r="F434"/>
      <c r="G434"/>
    </row>
    <row r="435" spans="2:7" x14ac:dyDescent="0.3">
      <c r="B435"/>
      <c r="C435"/>
      <c r="D435"/>
      <c r="E435"/>
      <c r="F435"/>
      <c r="G435"/>
    </row>
  </sheetData>
  <sheetProtection pivotTables="0"/>
  <pageMargins left="0.39370078740157483" right="0.39370078740157483" top="0.39370078740157483" bottom="0.39370078740157483" header="0" footer="0"/>
  <pageSetup paperSize="9" scale="92" fitToHeight="0" orientation="portrait" r:id="rId2"/>
  <headerFooter scaleWithDoc="0">
    <oddFooter>&amp;L&amp;G&amp;C&amp;"-,Obyčejné"&amp;8&amp;K00-049Tisk: &amp;D &amp;T&amp;R&amp;"-,Obyčejné"&amp;8&amp;K00-049&amp;F</oddFooter>
  </headerFooter>
  <drawing r:id="rId3"/>
  <legacyDrawingHF r:id="rId4"/>
  <extLst>
    <ext xmlns:x14="http://schemas.microsoft.com/office/spreadsheetml/2009/9/main" uri="{A8765BA9-456A-4dab-B4F3-ACF838C121DE}">
      <x14:slicerList>
        <x14:slicer r:id="rId5"/>
      </x14:slicerList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List8">
    <outlinePr summaryBelow="0" summaryRight="0"/>
  </sheetPr>
  <dimension ref="A1:V348"/>
  <sheetViews>
    <sheetView showGridLines="0" workbookViewId="0">
      <pane ySplit="1" topLeftCell="A275" activePane="bottomLeft" state="frozen"/>
      <selection activeCell="B293" sqref="B293"/>
      <selection pane="bottomLeft" activeCell="B293" sqref="B293"/>
    </sheetView>
  </sheetViews>
  <sheetFormatPr defaultColWidth="9.109375" defaultRowHeight="10.199999999999999" x14ac:dyDescent="0.3"/>
  <cols>
    <col min="1" max="1" width="9.6640625" style="275" customWidth="1"/>
    <col min="2" max="2" width="35.5546875" style="157" customWidth="1"/>
    <col min="3" max="3" width="8.5546875" style="157" customWidth="1"/>
    <col min="4" max="4" width="5.44140625" style="158" customWidth="1"/>
    <col min="5" max="5" width="6.33203125" style="158" customWidth="1"/>
    <col min="6" max="6" width="4.88671875" style="158" customWidth="1" collapsed="1"/>
    <col min="7" max="10" width="4.88671875" style="158" customWidth="1"/>
    <col min="11" max="11" width="44" style="154" customWidth="1"/>
    <col min="12" max="12" width="7.44140625" style="275" customWidth="1"/>
    <col min="13" max="17" width="6.109375" style="158" customWidth="1"/>
    <col min="18" max="18" width="22.88671875" style="154" customWidth="1"/>
    <col min="19" max="19" width="8.44140625" style="157" customWidth="1"/>
    <col min="20" max="20" width="15.109375" style="157" customWidth="1"/>
    <col min="21" max="16384" width="9.109375" style="154"/>
  </cols>
  <sheetData>
    <row r="1" spans="1:20" x14ac:dyDescent="0.3">
      <c r="A1" s="278" t="s">
        <v>223</v>
      </c>
      <c r="B1" s="151" t="s">
        <v>224</v>
      </c>
      <c r="C1" s="151" t="s">
        <v>233</v>
      </c>
      <c r="D1" s="274" t="s">
        <v>68</v>
      </c>
      <c r="E1" s="151" t="s">
        <v>276</v>
      </c>
      <c r="F1" s="151" t="s">
        <v>234</v>
      </c>
      <c r="G1" s="151" t="s">
        <v>235</v>
      </c>
      <c r="H1" s="151" t="s">
        <v>236</v>
      </c>
      <c r="I1" s="151" t="s">
        <v>1012</v>
      </c>
      <c r="J1" s="151" t="s">
        <v>1033</v>
      </c>
      <c r="K1" s="153" t="s">
        <v>277</v>
      </c>
      <c r="L1" s="273" t="s">
        <v>297</v>
      </c>
      <c r="M1" s="151" t="s">
        <v>298</v>
      </c>
      <c r="N1" s="151" t="s">
        <v>299</v>
      </c>
      <c r="O1" s="151" t="s">
        <v>300</v>
      </c>
      <c r="P1" s="151" t="s">
        <v>1023</v>
      </c>
      <c r="Q1" s="151" t="s">
        <v>1034</v>
      </c>
      <c r="R1" s="153" t="s">
        <v>278</v>
      </c>
      <c r="S1" s="151" t="s">
        <v>884</v>
      </c>
      <c r="T1" s="151" t="s">
        <v>875</v>
      </c>
    </row>
    <row r="2" spans="1:20" x14ac:dyDescent="0.3">
      <c r="A2" s="275">
        <v>11</v>
      </c>
      <c r="C2" s="157" t="s">
        <v>351</v>
      </c>
      <c r="D2" s="158" t="s">
        <v>279</v>
      </c>
      <c r="E2" s="423"/>
      <c r="F2" s="419"/>
      <c r="G2" s="419"/>
      <c r="H2" s="419"/>
      <c r="I2" s="419"/>
      <c r="J2" s="419"/>
      <c r="K2" s="154" t="str">
        <f>IF(ISBLANK(E2),"ručně doplnit",IF(E2="-","není ve výkazech",IF(C2="Rozvaha",VLOOKUP(E2,'radky_R'!$A:$B,2,0),IF(C2="Výsledovka",VLOOKUP(E2,'radky_V'!A:M,2,0)))))</f>
        <v>ručně doplnit</v>
      </c>
      <c r="R2" s="154" t="str">
        <f>IF(ISBLANK(L2),"není alternativa",IF(L2="-","není ve výkazech",VLOOKUP(L2,'radky_R'!$A:$B,2,0)))</f>
        <v>není alternativa</v>
      </c>
      <c r="S2" s="157" t="s">
        <v>255</v>
      </c>
      <c r="T2" s="157" t="s">
        <v>876</v>
      </c>
    </row>
    <row r="3" spans="1:20" x14ac:dyDescent="0.3">
      <c r="A3" s="275">
        <v>12</v>
      </c>
      <c r="B3" s="157" t="s">
        <v>0</v>
      </c>
      <c r="C3" s="157" t="s">
        <v>351</v>
      </c>
      <c r="D3" s="158" t="s">
        <v>279</v>
      </c>
      <c r="E3" s="423">
        <v>5</v>
      </c>
      <c r="F3" s="419" t="s">
        <v>240</v>
      </c>
      <c r="G3" s="419" t="s">
        <v>241</v>
      </c>
      <c r="H3" s="419" t="s">
        <v>242</v>
      </c>
      <c r="I3" s="419"/>
      <c r="J3" s="419"/>
      <c r="K3" s="154" t="str">
        <f>IF(ISBLANK(E3),"ručně doplnit",IF(E3="-","není ve výkazech",IF(C3="Rozvaha",VLOOKUP(E3,'radky_R'!$A:$B,2,0),IF(C3="Výsledovka",VLOOKUP(E3,'radky_V'!A:M,2,0)))))</f>
        <v xml:space="preserve">Nehmotné výsledky vývoje </v>
      </c>
      <c r="R3" s="154" t="str">
        <f>IF(ISBLANK(L3),"není alternativa",IF(L3="-","není ve výkazech",VLOOKUP(L3,'radky_R'!$A:$B,2,0)))</f>
        <v>není alternativa</v>
      </c>
      <c r="S3" s="157" t="s">
        <v>255</v>
      </c>
      <c r="T3" s="157" t="s">
        <v>876</v>
      </c>
    </row>
    <row r="4" spans="1:20" x14ac:dyDescent="0.3">
      <c r="A4" s="275">
        <v>13</v>
      </c>
      <c r="B4" s="157" t="s">
        <v>1</v>
      </c>
      <c r="C4" s="157" t="s">
        <v>351</v>
      </c>
      <c r="D4" s="158" t="s">
        <v>279</v>
      </c>
      <c r="E4" s="423">
        <v>7</v>
      </c>
      <c r="F4" s="419" t="s">
        <v>240</v>
      </c>
      <c r="G4" s="419" t="s">
        <v>241</v>
      </c>
      <c r="H4" s="419" t="s">
        <v>243</v>
      </c>
      <c r="I4" s="419" t="s">
        <v>242</v>
      </c>
      <c r="J4" s="419"/>
      <c r="K4" s="154" t="str">
        <f>IF(ISBLANK(E4),"ručně doplnit",IF(E4="-","není ve výkazech",IF(C4="Rozvaha",VLOOKUP(E4,'radky_R'!$A:$B,2,0),IF(C4="Výsledovka",VLOOKUP(E4,'radky_V'!A:M,2,0)))))</f>
        <v>Software</v>
      </c>
      <c r="R4" s="154" t="str">
        <f>IF(ISBLANK(L4),"není alternativa",IF(L4="-","není ve výkazech",VLOOKUP(L4,'radky_R'!$A:$B,2,0)))</f>
        <v>není alternativa</v>
      </c>
      <c r="S4" s="157" t="s">
        <v>255</v>
      </c>
      <c r="T4" s="157" t="s">
        <v>876</v>
      </c>
    </row>
    <row r="5" spans="1:20" x14ac:dyDescent="0.3">
      <c r="A5" s="275">
        <v>14</v>
      </c>
      <c r="B5" s="157" t="s">
        <v>923</v>
      </c>
      <c r="C5" s="157" t="s">
        <v>351</v>
      </c>
      <c r="D5" s="158" t="s">
        <v>279</v>
      </c>
      <c r="E5" s="423">
        <v>8</v>
      </c>
      <c r="F5" s="419" t="s">
        <v>240</v>
      </c>
      <c r="G5" s="419" t="s">
        <v>241</v>
      </c>
      <c r="H5" s="419" t="s">
        <v>243</v>
      </c>
      <c r="I5" s="419" t="s">
        <v>243</v>
      </c>
      <c r="J5" s="419"/>
      <c r="K5" s="154" t="str">
        <f>IF(ISBLANK(E5),"ručně doplnit",IF(E5="-","není ve výkazech",IF(C5="Rozvaha",VLOOKUP(E5,'radky_R'!$A:$B,2,0),IF(C5="Výsledovka",VLOOKUP(E5,'radky_V'!A:M,2,0)))))</f>
        <v>Ostatní ocenitelná práva</v>
      </c>
      <c r="R5" s="154" t="str">
        <f>IF(ISBLANK(L5),"není alternativa",IF(L5="-","není ve výkazech",VLOOKUP(L5,'radky_R'!$A:$B,2,0)))</f>
        <v>není alternativa</v>
      </c>
      <c r="S5" s="157" t="s">
        <v>255</v>
      </c>
      <c r="T5" s="157" t="s">
        <v>876</v>
      </c>
    </row>
    <row r="6" spans="1:20" x14ac:dyDescent="0.3">
      <c r="A6" s="275">
        <v>15</v>
      </c>
      <c r="B6" s="157" t="s">
        <v>3</v>
      </c>
      <c r="C6" s="157" t="s">
        <v>351</v>
      </c>
      <c r="D6" s="158" t="s">
        <v>279</v>
      </c>
      <c r="E6" s="423">
        <v>9</v>
      </c>
      <c r="F6" s="419" t="s">
        <v>240</v>
      </c>
      <c r="G6" s="419" t="s">
        <v>241</v>
      </c>
      <c r="H6" s="419" t="s">
        <v>244</v>
      </c>
      <c r="I6" s="419"/>
      <c r="J6" s="419"/>
      <c r="K6" s="154" t="str">
        <f>IF(ISBLANK(E6),"ručně doplnit",IF(E6="-","není ve výkazech",IF(C6="Rozvaha",VLOOKUP(E6,'radky_R'!$A:$B,2,0),IF(C6="Výsledovka",VLOOKUP(E6,'radky_V'!A:M,2,0)))))</f>
        <v>Goodwill</v>
      </c>
      <c r="R6" s="154" t="str">
        <f>IF(ISBLANK(L6),"není alternativa",IF(L6="-","není ve výkazech",VLOOKUP(L6,'radky_R'!$A:$B,2,0)))</f>
        <v>není alternativa</v>
      </c>
      <c r="S6" s="157" t="s">
        <v>255</v>
      </c>
      <c r="T6" s="157" t="s">
        <v>876</v>
      </c>
    </row>
    <row r="7" spans="1:20" x14ac:dyDescent="0.3">
      <c r="A7" s="275">
        <v>19</v>
      </c>
      <c r="B7" s="157" t="s">
        <v>924</v>
      </c>
      <c r="C7" s="157" t="s">
        <v>351</v>
      </c>
      <c r="D7" s="158" t="s">
        <v>279</v>
      </c>
      <c r="E7" s="423">
        <v>10</v>
      </c>
      <c r="F7" s="419" t="s">
        <v>240</v>
      </c>
      <c r="G7" s="419" t="s">
        <v>241</v>
      </c>
      <c r="H7" s="419" t="s">
        <v>245</v>
      </c>
      <c r="I7" s="419"/>
      <c r="J7" s="419"/>
      <c r="K7" s="154" t="str">
        <f>IF(ISBLANK(E7),"ručně doplnit",IF(E7="-","není ve výkazech",IF(C7="Rozvaha",VLOOKUP(E7,'radky_R'!$A:$B,2,0),IF(C7="Výsledovka",VLOOKUP(E7,'radky_V'!A:M,2,0)))))</f>
        <v>Ostatní dlouhodobý nehmotný majetek</v>
      </c>
      <c r="R7" s="154" t="str">
        <f>IF(ISBLANK(L7),"není alternativa",IF(L7="-","není ve výkazech",VLOOKUP(L7,'radky_R'!$A:$B,2,0)))</f>
        <v>není alternativa</v>
      </c>
      <c r="S7" s="157" t="s">
        <v>255</v>
      </c>
      <c r="T7" s="157" t="s">
        <v>876</v>
      </c>
    </row>
    <row r="8" spans="1:20" x14ac:dyDescent="0.3">
      <c r="A8" s="275">
        <v>21</v>
      </c>
      <c r="B8" s="157" t="s">
        <v>4</v>
      </c>
      <c r="C8" s="157" t="s">
        <v>351</v>
      </c>
      <c r="D8" s="158" t="s">
        <v>279</v>
      </c>
      <c r="E8" s="423">
        <v>17</v>
      </c>
      <c r="F8" s="419" t="s">
        <v>240</v>
      </c>
      <c r="G8" s="419" t="s">
        <v>251</v>
      </c>
      <c r="H8" s="419" t="s">
        <v>242</v>
      </c>
      <c r="I8" s="419" t="s">
        <v>243</v>
      </c>
      <c r="J8" s="419"/>
      <c r="K8" s="154" t="str">
        <f>IF(ISBLANK(E8),"ručně doplnit",IF(E8="-","není ve výkazech",IF(C8="Rozvaha",VLOOKUP(E8,'radky_R'!$A:$B,2,0),IF(C8="Výsledovka",VLOOKUP(E8,'radky_V'!A:M,2,0)))))</f>
        <v>Stavby</v>
      </c>
      <c r="R8" s="154" t="str">
        <f>IF(ISBLANK(L8),"není alternativa",IF(L8="-","není ve výkazech",VLOOKUP(L8,'radky_R'!$A:$B,2,0)))</f>
        <v>není alternativa</v>
      </c>
      <c r="S8" s="157" t="s">
        <v>255</v>
      </c>
      <c r="T8" s="157" t="s">
        <v>876</v>
      </c>
    </row>
    <row r="9" spans="1:20" x14ac:dyDescent="0.3">
      <c r="A9" s="275">
        <v>22</v>
      </c>
      <c r="B9" s="157" t="s">
        <v>928</v>
      </c>
      <c r="C9" s="157" t="s">
        <v>351</v>
      </c>
      <c r="D9" s="158" t="s">
        <v>279</v>
      </c>
      <c r="E9" s="423">
        <v>18</v>
      </c>
      <c r="F9" s="419" t="s">
        <v>240</v>
      </c>
      <c r="G9" s="419" t="s">
        <v>251</v>
      </c>
      <c r="H9" s="419" t="s">
        <v>243</v>
      </c>
      <c r="I9" s="419"/>
      <c r="J9" s="419"/>
      <c r="K9" s="154" t="str">
        <f>IF(ISBLANK(E9),"ručně doplnit",IF(E9="-","není ve výkazech",IF(C9="Rozvaha",VLOOKUP(E9,'radky_R'!$A:$B,2,0),IF(C9="Výsledovka",VLOOKUP(E9,'radky_V'!A:M,2,0)))))</f>
        <v>Hmotné movité věci a jejich soubory</v>
      </c>
      <c r="R9" s="154" t="str">
        <f>IF(ISBLANK(L9),"není alternativa",IF(L9="-","není ve výkazech",VLOOKUP(L9,'radky_R'!$A:$B,2,0)))</f>
        <v>není alternativa</v>
      </c>
      <c r="S9" s="157" t="s">
        <v>255</v>
      </c>
      <c r="T9" s="157" t="s">
        <v>876</v>
      </c>
    </row>
    <row r="10" spans="1:20" x14ac:dyDescent="0.3">
      <c r="A10" s="275">
        <v>25</v>
      </c>
      <c r="B10" s="157" t="s">
        <v>5</v>
      </c>
      <c r="C10" s="157" t="s">
        <v>351</v>
      </c>
      <c r="D10" s="158" t="s">
        <v>279</v>
      </c>
      <c r="E10" s="423">
        <v>21</v>
      </c>
      <c r="F10" s="419" t="s">
        <v>240</v>
      </c>
      <c r="G10" s="419" t="s">
        <v>251</v>
      </c>
      <c r="H10" s="419" t="s">
        <v>245</v>
      </c>
      <c r="I10" s="419" t="s">
        <v>242</v>
      </c>
      <c r="J10" s="419"/>
      <c r="K10" s="154" t="str">
        <f>IF(ISBLANK(E10),"ručně doplnit",IF(E10="-","není ve výkazech",IF(C10="Rozvaha",VLOOKUP(E10,'radky_R'!$A:$B,2,0),IF(C10="Výsledovka",VLOOKUP(E10,'radky_V'!A:M,2,0)))))</f>
        <v>Pěstitelské celky trvalých porostů</v>
      </c>
      <c r="R10" s="154" t="str">
        <f>IF(ISBLANK(L10),"není alternativa",IF(L10="-","není ve výkazech",VLOOKUP(L10,'radky_R'!$A:$B,2,0)))</f>
        <v>není alternativa</v>
      </c>
      <c r="S10" s="157" t="s">
        <v>255</v>
      </c>
      <c r="T10" s="157" t="s">
        <v>876</v>
      </c>
    </row>
    <row r="11" spans="1:20" x14ac:dyDescent="0.3">
      <c r="A11" s="275">
        <v>26</v>
      </c>
      <c r="B11" s="157" t="s">
        <v>6</v>
      </c>
      <c r="C11" s="157" t="s">
        <v>351</v>
      </c>
      <c r="D11" s="158" t="s">
        <v>279</v>
      </c>
      <c r="E11" s="423">
        <v>22</v>
      </c>
      <c r="F11" s="419" t="s">
        <v>240</v>
      </c>
      <c r="G11" s="419" t="s">
        <v>251</v>
      </c>
      <c r="H11" s="419" t="s">
        <v>245</v>
      </c>
      <c r="I11" s="419" t="s">
        <v>243</v>
      </c>
      <c r="J11" s="419"/>
      <c r="K11" s="154" t="str">
        <f>IF(ISBLANK(E11),"ručně doplnit",IF(E11="-","není ve výkazech",IF(C11="Rozvaha",VLOOKUP(E11,'radky_R'!$A:$B,2,0),IF(C11="Výsledovka",VLOOKUP(E11,'radky_V'!A:M,2,0)))))</f>
        <v>Dospělá zvířata a jejich skupiny</v>
      </c>
      <c r="R11" s="154" t="str">
        <f>IF(ISBLANK(L11),"není alternativa",IF(L11="-","není ve výkazech",VLOOKUP(L11,'radky_R'!$A:$B,2,0)))</f>
        <v>není alternativa</v>
      </c>
      <c r="S11" s="157" t="s">
        <v>255</v>
      </c>
      <c r="T11" s="157" t="s">
        <v>876</v>
      </c>
    </row>
    <row r="12" spans="1:20" x14ac:dyDescent="0.3">
      <c r="A12" s="275">
        <v>29</v>
      </c>
      <c r="B12" s="157" t="s">
        <v>7</v>
      </c>
      <c r="C12" s="157" t="s">
        <v>351</v>
      </c>
      <c r="D12" s="158" t="s">
        <v>279</v>
      </c>
      <c r="E12" s="423">
        <v>23</v>
      </c>
      <c r="F12" s="419" t="s">
        <v>240</v>
      </c>
      <c r="G12" s="419" t="s">
        <v>251</v>
      </c>
      <c r="H12" s="419" t="s">
        <v>245</v>
      </c>
      <c r="I12" s="419" t="s">
        <v>244</v>
      </c>
      <c r="J12" s="419"/>
      <c r="K12" s="154" t="str">
        <f>IF(ISBLANK(E12),"ručně doplnit",IF(E12="-","není ve výkazech",IF(C12="Rozvaha",VLOOKUP(E12,'radky_R'!$A:$B,2,0),IF(C12="Výsledovka",VLOOKUP(E12,'radky_V'!A:M,2,0)))))</f>
        <v>Jiný dlouhodobý hmotný majetek</v>
      </c>
      <c r="R12" s="154" t="str">
        <f>IF(ISBLANK(L12),"není alternativa",IF(L12="-","není ve výkazech",VLOOKUP(L12,'radky_R'!$A:$B,2,0)))</f>
        <v>není alternativa</v>
      </c>
      <c r="S12" s="157" t="s">
        <v>255</v>
      </c>
      <c r="T12" s="157" t="s">
        <v>876</v>
      </c>
    </row>
    <row r="13" spans="1:20" x14ac:dyDescent="0.3">
      <c r="A13" s="275">
        <v>31</v>
      </c>
      <c r="B13" s="157" t="s">
        <v>8</v>
      </c>
      <c r="C13" s="157" t="s">
        <v>351</v>
      </c>
      <c r="D13" s="158" t="s">
        <v>279</v>
      </c>
      <c r="E13" s="423">
        <v>16</v>
      </c>
      <c r="F13" s="419" t="s">
        <v>240</v>
      </c>
      <c r="G13" s="419" t="s">
        <v>251</v>
      </c>
      <c r="H13" s="419" t="s">
        <v>242</v>
      </c>
      <c r="I13" s="419" t="s">
        <v>242</v>
      </c>
      <c r="J13" s="419"/>
      <c r="K13" s="154" t="str">
        <f>IF(ISBLANK(E13),"ručně doplnit",IF(E13="-","není ve výkazech",IF(C13="Rozvaha",VLOOKUP(E13,'radky_R'!$A:$B,2,0),IF(C13="Výsledovka",VLOOKUP(E13,'radky_V'!A:M,2,0)))))</f>
        <v>Pozemky</v>
      </c>
      <c r="R13" s="154" t="str">
        <f>IF(ISBLANK(L13),"není alternativa",IF(L13="-","není ve výkazech",VLOOKUP(L13,'radky_R'!$A:$B,2,0)))</f>
        <v>není alternativa</v>
      </c>
      <c r="S13" s="157" t="s">
        <v>255</v>
      </c>
      <c r="T13" s="157" t="s">
        <v>876</v>
      </c>
    </row>
    <row r="14" spans="1:20" x14ac:dyDescent="0.3">
      <c r="A14" s="275">
        <v>32</v>
      </c>
      <c r="B14" s="157" t="s">
        <v>9</v>
      </c>
      <c r="C14" s="157" t="s">
        <v>351</v>
      </c>
      <c r="D14" s="158" t="s">
        <v>279</v>
      </c>
      <c r="E14" s="423">
        <v>23</v>
      </c>
      <c r="F14" s="419" t="s">
        <v>240</v>
      </c>
      <c r="G14" s="419" t="s">
        <v>251</v>
      </c>
      <c r="H14" s="419" t="s">
        <v>245</v>
      </c>
      <c r="I14" s="419" t="s">
        <v>244</v>
      </c>
      <c r="J14" s="419"/>
      <c r="K14" s="154" t="str">
        <f>IF(ISBLANK(E14),"ručně doplnit",IF(E14="-","není ve výkazech",IF(C14="Rozvaha",VLOOKUP(E14,'radky_R'!$A:$B,2,0),IF(C14="Výsledovka",VLOOKUP(E14,'radky_V'!A:M,2,0)))))</f>
        <v>Jiný dlouhodobý hmotný majetek</v>
      </c>
      <c r="R14" s="154" t="str">
        <f>IF(ISBLANK(L14),"není alternativa",IF(L14="-","není ve výkazech",VLOOKUP(L14,'radky_R'!$A:$B,2,0)))</f>
        <v>není alternativa</v>
      </c>
      <c r="S14" s="157" t="s">
        <v>255</v>
      </c>
      <c r="T14" s="157" t="s">
        <v>876</v>
      </c>
    </row>
    <row r="15" spans="1:20" x14ac:dyDescent="0.3">
      <c r="A15" s="275">
        <v>41</v>
      </c>
      <c r="B15" s="157" t="s">
        <v>250</v>
      </c>
      <c r="C15" s="157" t="s">
        <v>351</v>
      </c>
      <c r="D15" s="158" t="s">
        <v>279</v>
      </c>
      <c r="E15" s="423">
        <v>13</v>
      </c>
      <c r="F15" s="419" t="s">
        <v>240</v>
      </c>
      <c r="G15" s="419" t="s">
        <v>241</v>
      </c>
      <c r="H15" s="419" t="s">
        <v>246</v>
      </c>
      <c r="I15" s="419" t="s">
        <v>243</v>
      </c>
      <c r="J15" s="419"/>
      <c r="K15" s="154" t="str">
        <f>IF(ISBLANK(E15),"ručně doplnit",IF(E15="-","není ve výkazech",IF(C15="Rozvaha",VLOOKUP(E15,'radky_R'!$A:$B,2,0),IF(C15="Výsledovka",VLOOKUP(E15,'radky_V'!A:M,2,0)))))</f>
        <v>Nedokončený dlouhodobý nehmotný majetek</v>
      </c>
      <c r="R15" s="154" t="str">
        <f>IF(ISBLANK(L15),"není alternativa",IF(L15="-","není ve výkazech",VLOOKUP(L15,'radky_R'!$A:$B,2,0)))</f>
        <v>není alternativa</v>
      </c>
      <c r="S15" s="157" t="s">
        <v>255</v>
      </c>
      <c r="T15" s="157" t="s">
        <v>876</v>
      </c>
    </row>
    <row r="16" spans="1:20" x14ac:dyDescent="0.3">
      <c r="A16" s="275">
        <v>42</v>
      </c>
      <c r="B16" s="157" t="s">
        <v>253</v>
      </c>
      <c r="C16" s="157" t="s">
        <v>351</v>
      </c>
      <c r="D16" s="158" t="s">
        <v>279</v>
      </c>
      <c r="E16" s="423">
        <v>26</v>
      </c>
      <c r="F16" s="419" t="s">
        <v>240</v>
      </c>
      <c r="G16" s="419" t="s">
        <v>251</v>
      </c>
      <c r="H16" s="419" t="s">
        <v>246</v>
      </c>
      <c r="I16" s="419" t="s">
        <v>243</v>
      </c>
      <c r="J16" s="419"/>
      <c r="K16" s="154" t="str">
        <f>IF(ISBLANK(E16),"ručně doplnit",IF(E16="-","není ve výkazech",IF(C16="Rozvaha",VLOOKUP(E16,'radky_R'!$A:$B,2,0),IF(C16="Výsledovka",VLOOKUP(E16,'radky_V'!A:M,2,0)))))</f>
        <v>Nedokončený dlouhodobý hmotný majetek</v>
      </c>
      <c r="R16" s="154" t="str">
        <f>IF(ISBLANK(L16),"není alternativa",IF(L16="-","není ve výkazech",VLOOKUP(L16,'radky_R'!$A:$B,2,0)))</f>
        <v>není alternativa</v>
      </c>
      <c r="S16" s="157" t="s">
        <v>255</v>
      </c>
      <c r="T16" s="157" t="s">
        <v>876</v>
      </c>
    </row>
    <row r="17" spans="1:20" x14ac:dyDescent="0.3">
      <c r="A17" s="275">
        <v>43</v>
      </c>
      <c r="B17" s="157" t="s">
        <v>10</v>
      </c>
      <c r="C17" s="157" t="s">
        <v>351</v>
      </c>
      <c r="D17" s="158" t="s">
        <v>279</v>
      </c>
      <c r="E17" s="422"/>
      <c r="F17" s="420"/>
      <c r="G17" s="420"/>
      <c r="H17" s="420"/>
      <c r="I17" s="420"/>
      <c r="J17" s="420"/>
      <c r="K17" s="154" t="str">
        <f>IF(ISBLANK(E17),"ručně doplnit",IF(E17="-","není ve výkazech",IF(C17="Rozvaha",VLOOKUP(E17,'radky_R'!$A:$B,2,0),IF(C17="Výsledovka",VLOOKUP(E17,'radky_V'!A:M,2,0)))))</f>
        <v>ručně doplnit</v>
      </c>
      <c r="R17" s="154" t="str">
        <f>IF(ISBLANK(L17),"není alternativa",IF(L17="-","není ve výkazech",VLOOKUP(L17,'radky_R'!$A:$B,2,0)))</f>
        <v>není alternativa</v>
      </c>
      <c r="S17" s="157" t="s">
        <v>255</v>
      </c>
      <c r="T17" s="157" t="s">
        <v>877</v>
      </c>
    </row>
    <row r="18" spans="1:20" x14ac:dyDescent="0.3">
      <c r="A18" s="275">
        <v>51</v>
      </c>
      <c r="B18" s="157" t="s">
        <v>11</v>
      </c>
      <c r="C18" s="157" t="s">
        <v>351</v>
      </c>
      <c r="D18" s="158" t="s">
        <v>279</v>
      </c>
      <c r="E18" s="423">
        <v>12</v>
      </c>
      <c r="F18" s="419" t="s">
        <v>240</v>
      </c>
      <c r="G18" s="419" t="s">
        <v>241</v>
      </c>
      <c r="H18" s="419" t="s">
        <v>246</v>
      </c>
      <c r="I18" s="419" t="s">
        <v>242</v>
      </c>
      <c r="J18" s="419"/>
      <c r="K18" s="154" t="str">
        <f>IF(ISBLANK(E18),"ručně doplnit",IF(E18="-","není ve výkazech",IF(C18="Rozvaha",VLOOKUP(E18,'radky_R'!$A:$B,2,0),IF(C18="Výsledovka",VLOOKUP(E18,'radky_V'!A:M,2,0)))))</f>
        <v>Poskytnuté zálohy na dlouh. nehm. majetek</v>
      </c>
      <c r="R18" s="154" t="str">
        <f>IF(ISBLANK(L18),"není alternativa",IF(L18="-","není ve výkazech",VLOOKUP(L18,'radky_R'!$A:$B,2,0)))</f>
        <v>není alternativa</v>
      </c>
      <c r="S18" s="157" t="s">
        <v>255</v>
      </c>
      <c r="T18" s="157" t="s">
        <v>876</v>
      </c>
    </row>
    <row r="19" spans="1:20" x14ac:dyDescent="0.3">
      <c r="A19" s="275">
        <v>52</v>
      </c>
      <c r="B19" s="157" t="s">
        <v>12</v>
      </c>
      <c r="C19" s="157" t="s">
        <v>351</v>
      </c>
      <c r="D19" s="158" t="s">
        <v>279</v>
      </c>
      <c r="E19" s="423">
        <v>25</v>
      </c>
      <c r="F19" s="419" t="s">
        <v>240</v>
      </c>
      <c r="G19" s="419" t="s">
        <v>251</v>
      </c>
      <c r="H19" s="419" t="s">
        <v>246</v>
      </c>
      <c r="I19" s="419" t="s">
        <v>242</v>
      </c>
      <c r="J19" s="419"/>
      <c r="K19" s="154" t="str">
        <f>IF(ISBLANK(E19),"ručně doplnit",IF(E19="-","není ve výkazech",IF(C19="Rozvaha",VLOOKUP(E19,'radky_R'!$A:$B,2,0),IF(C19="Výsledovka",VLOOKUP(E19,'radky_V'!A:M,2,0)))))</f>
        <v>Poskytnuté zálohy na dlouh. hmotný majetek</v>
      </c>
      <c r="R19" s="154" t="str">
        <f>IF(ISBLANK(L19),"není alternativa",IF(L19="-","není ve výkazech",VLOOKUP(L19,'radky_R'!$A:$B,2,0)))</f>
        <v>není alternativa</v>
      </c>
      <c r="S19" s="157" t="s">
        <v>255</v>
      </c>
      <c r="T19" s="157" t="s">
        <v>876</v>
      </c>
    </row>
    <row r="20" spans="1:20" x14ac:dyDescent="0.3">
      <c r="A20" s="275">
        <v>53</v>
      </c>
      <c r="B20" s="157" t="s">
        <v>13</v>
      </c>
      <c r="C20" s="157" t="s">
        <v>351</v>
      </c>
      <c r="D20" s="158" t="s">
        <v>279</v>
      </c>
      <c r="E20" s="423">
        <v>36</v>
      </c>
      <c r="F20" s="419" t="s">
        <v>240</v>
      </c>
      <c r="G20" s="419" t="s">
        <v>256</v>
      </c>
      <c r="H20" s="419" t="s">
        <v>248</v>
      </c>
      <c r="I20" s="419" t="s">
        <v>243</v>
      </c>
      <c r="J20" s="419"/>
      <c r="K20" s="154" t="str">
        <f>IF(ISBLANK(E20),"ručně doplnit",IF(E20="-","není ve výkazech",IF(C20="Rozvaha",VLOOKUP(E20,'radky_R'!$A:$B,2,0),IF(C20="Výsledovka",VLOOKUP(E20,'radky_V'!A:M,2,0)))))</f>
        <v>Poskytnuté zálohy na dlouhodobý finanční majetek</v>
      </c>
      <c r="R20" s="154" t="str">
        <f>IF(ISBLANK(L20),"není alternativa",IF(L20="-","není ve výkazech",VLOOKUP(L20,'radky_R'!$A:$B,2,0)))</f>
        <v>není alternativa</v>
      </c>
      <c r="S20" s="157" t="s">
        <v>255</v>
      </c>
      <c r="T20" s="157" t="s">
        <v>877</v>
      </c>
    </row>
    <row r="21" spans="1:20" x14ac:dyDescent="0.3">
      <c r="A21" s="275">
        <v>61</v>
      </c>
      <c r="B21" s="157" t="s">
        <v>930</v>
      </c>
      <c r="C21" s="157" t="s">
        <v>351</v>
      </c>
      <c r="D21" s="158" t="s">
        <v>279</v>
      </c>
      <c r="E21" s="423">
        <v>28</v>
      </c>
      <c r="F21" s="419" t="s">
        <v>240</v>
      </c>
      <c r="G21" s="419" t="s">
        <v>256</v>
      </c>
      <c r="H21" s="419" t="s">
        <v>242</v>
      </c>
      <c r="I21" s="419"/>
      <c r="J21" s="419"/>
      <c r="K21" s="154" t="str">
        <f>IF(ISBLANK(E21),"ručně doplnit",IF(E21="-","není ve výkazech",IF(C21="Rozvaha",VLOOKUP(E21,'radky_R'!$A:$B,2,0),IF(C21="Výsledovka",VLOOKUP(E21,'radky_V'!A:M,2,0)))))</f>
        <v>Podíly - ovládaná nebo ovládající osoba</v>
      </c>
      <c r="R21" s="154" t="str">
        <f>IF(ISBLANK(L21),"není alternativa",IF(L21="-","není ve výkazech",VLOOKUP(L21,'radky_R'!$A:$B,2,0)))</f>
        <v>není alternativa</v>
      </c>
      <c r="S21" s="157" t="s">
        <v>255</v>
      </c>
      <c r="T21" s="157" t="s">
        <v>877</v>
      </c>
    </row>
    <row r="22" spans="1:20" x14ac:dyDescent="0.3">
      <c r="A22" s="275">
        <v>62</v>
      </c>
      <c r="B22" s="157" t="s">
        <v>931</v>
      </c>
      <c r="C22" s="157" t="s">
        <v>351</v>
      </c>
      <c r="D22" s="158" t="s">
        <v>279</v>
      </c>
      <c r="E22" s="423">
        <v>30</v>
      </c>
      <c r="F22" s="419" t="s">
        <v>240</v>
      </c>
      <c r="G22" s="419" t="s">
        <v>256</v>
      </c>
      <c r="H22" s="419" t="s">
        <v>244</v>
      </c>
      <c r="I22" s="419"/>
      <c r="J22" s="419"/>
      <c r="K22" s="154" t="str">
        <f>IF(ISBLANK(E22),"ručně doplnit",IF(E22="-","není ve výkazech",IF(C22="Rozvaha",VLOOKUP(E22,'radky_R'!$A:$B,2,0),IF(C22="Výsledovka",VLOOKUP(E22,'radky_V'!A:M,2,0)))))</f>
        <v>Podíly - podstatný vliv</v>
      </c>
      <c r="R22" s="154" t="str">
        <f>IF(ISBLANK(L22),"není alternativa",IF(L22="-","není ve výkazech",VLOOKUP(L22,'radky_R'!$A:$B,2,0)))</f>
        <v>není alternativa</v>
      </c>
      <c r="S22" s="157" t="s">
        <v>255</v>
      </c>
      <c r="T22" s="157" t="s">
        <v>877</v>
      </c>
    </row>
    <row r="23" spans="1:20" x14ac:dyDescent="0.3">
      <c r="A23" s="275">
        <v>63</v>
      </c>
      <c r="B23" s="157" t="s">
        <v>14</v>
      </c>
      <c r="C23" s="157" t="s">
        <v>351</v>
      </c>
      <c r="D23" s="158" t="s">
        <v>279</v>
      </c>
      <c r="E23" s="423">
        <v>32</v>
      </c>
      <c r="F23" s="419" t="s">
        <v>240</v>
      </c>
      <c r="G23" s="419" t="s">
        <v>256</v>
      </c>
      <c r="H23" s="419" t="s">
        <v>246</v>
      </c>
      <c r="I23" s="419"/>
      <c r="J23" s="419"/>
      <c r="K23" s="154" t="str">
        <f>IF(ISBLANK(E23),"ručně doplnit",IF(E23="-","není ve výkazech",IF(C23="Rozvaha",VLOOKUP(E23,'radky_R'!$A:$B,2,0),IF(C23="Výsledovka",VLOOKUP(E23,'radky_V'!A:M,2,0)))))</f>
        <v>Ostatní dlouhodobé cenné papíry a podíly</v>
      </c>
      <c r="R23" s="154" t="str">
        <f>IF(ISBLANK(L23),"není alternativa",IF(L23="-","není ve výkazech",VLOOKUP(L23,'radky_R'!$A:$B,2,0)))</f>
        <v>není alternativa</v>
      </c>
      <c r="S23" s="157" t="s">
        <v>255</v>
      </c>
      <c r="T23" s="157" t="s">
        <v>877</v>
      </c>
    </row>
    <row r="24" spans="1:20" x14ac:dyDescent="0.3">
      <c r="A24" s="275">
        <v>65</v>
      </c>
      <c r="B24" s="157" t="s">
        <v>15</v>
      </c>
      <c r="C24" s="157" t="s">
        <v>351</v>
      </c>
      <c r="D24" s="158" t="s">
        <v>279</v>
      </c>
      <c r="E24" s="423">
        <v>32</v>
      </c>
      <c r="F24" s="419" t="s">
        <v>240</v>
      </c>
      <c r="G24" s="419" t="s">
        <v>256</v>
      </c>
      <c r="H24" s="419" t="s">
        <v>246</v>
      </c>
      <c r="I24" s="419"/>
      <c r="J24" s="419"/>
      <c r="K24" s="154" t="str">
        <f>IF(ISBLANK(E24),"ručně doplnit",IF(E24="-","není ve výkazech",IF(C24="Rozvaha",VLOOKUP(E24,'radky_R'!$A:$B,2,0),IF(C24="Výsledovka",VLOOKUP(E24,'radky_V'!A:M,2,0)))))</f>
        <v>Ostatní dlouhodobé cenné papíry a podíly</v>
      </c>
      <c r="R24" s="154" t="str">
        <f>IF(ISBLANK(L24),"není alternativa",IF(L24="-","není ve výkazech",VLOOKUP(L24,'radky_R'!$A:$B,2,0)))</f>
        <v>není alternativa</v>
      </c>
      <c r="S24" s="157" t="s">
        <v>255</v>
      </c>
      <c r="T24" s="157" t="s">
        <v>877</v>
      </c>
    </row>
    <row r="25" spans="1:20" x14ac:dyDescent="0.3">
      <c r="A25" s="275">
        <v>66</v>
      </c>
      <c r="B25" s="157" t="s">
        <v>1015</v>
      </c>
      <c r="C25" s="157" t="s">
        <v>351</v>
      </c>
      <c r="D25" s="158" t="s">
        <v>279</v>
      </c>
      <c r="E25" s="423">
        <v>29</v>
      </c>
      <c r="F25" s="419" t="s">
        <v>240</v>
      </c>
      <c r="G25" s="419" t="s">
        <v>256</v>
      </c>
      <c r="H25" s="419" t="s">
        <v>243</v>
      </c>
      <c r="I25" s="419"/>
      <c r="J25" s="419"/>
      <c r="K25" s="154" t="str">
        <f>IF(ISBLANK(E25),"ručně doplnit",IF(E25="-","není ve výkazech",IF(C25="Rozvaha",VLOOKUP(E25,'radky_R'!$A:$B,2,0),IF(C25="Výsledovka",VLOOKUP(E25,'radky_V'!A:M,2,0)))))</f>
        <v>Zápůjčky a úvěry - ovládaná nebo ovládající osoba</v>
      </c>
      <c r="R25" s="154" t="str">
        <f>IF(ISBLANK(L25),"není alternativa",IF(L25="-","není ve výkazech",VLOOKUP(L25,'radky_R'!$A:$B,2,0)))</f>
        <v>není alternativa</v>
      </c>
      <c r="S25" s="157" t="s">
        <v>255</v>
      </c>
      <c r="T25" s="157" t="s">
        <v>877</v>
      </c>
    </row>
    <row r="26" spans="1:20" x14ac:dyDescent="0.3">
      <c r="A26" s="275">
        <v>67</v>
      </c>
      <c r="B26" s="157" t="s">
        <v>968</v>
      </c>
      <c r="C26" s="157" t="s">
        <v>351</v>
      </c>
      <c r="D26" s="158" t="s">
        <v>279</v>
      </c>
      <c r="E26" s="423">
        <v>31</v>
      </c>
      <c r="F26" s="419" t="s">
        <v>240</v>
      </c>
      <c r="G26" s="419" t="s">
        <v>256</v>
      </c>
      <c r="H26" s="419" t="s">
        <v>245</v>
      </c>
      <c r="I26" s="419"/>
      <c r="J26" s="419"/>
      <c r="K26" s="154" t="str">
        <f>IF(ISBLANK(E26),"ručně doplnit",IF(E26="-","není ve výkazech",IF(C26="Rozvaha",VLOOKUP(E26,'radky_R'!$A:$B,2,0),IF(C26="Výsledovka",VLOOKUP(E26,'radky_V'!A:M,2,0)))))</f>
        <v>Zápůjčky a úvěry - podstatný vliv</v>
      </c>
      <c r="R26" s="154" t="str">
        <f>IF(ISBLANK(L26),"není alternativa",IF(L26="-","není ve výkazech",VLOOKUP(L26,'radky_R'!$A:$B,2,0)))</f>
        <v>není alternativa</v>
      </c>
      <c r="S26" s="157" t="s">
        <v>255</v>
      </c>
      <c r="T26" s="157" t="s">
        <v>877</v>
      </c>
    </row>
    <row r="27" spans="1:20" x14ac:dyDescent="0.3">
      <c r="A27" s="275">
        <v>68</v>
      </c>
      <c r="B27" s="157" t="s">
        <v>937</v>
      </c>
      <c r="C27" s="157" t="s">
        <v>351</v>
      </c>
      <c r="D27" s="158" t="s">
        <v>279</v>
      </c>
      <c r="E27" s="423">
        <v>33</v>
      </c>
      <c r="F27" s="419" t="s">
        <v>240</v>
      </c>
      <c r="G27" s="419" t="s">
        <v>256</v>
      </c>
      <c r="H27" s="419" t="s">
        <v>247</v>
      </c>
      <c r="I27" s="419"/>
      <c r="J27" s="419"/>
      <c r="K27" s="154" t="str">
        <f>IF(ISBLANK(E27),"ručně doplnit",IF(E27="-","není ve výkazech",IF(C27="Rozvaha",VLOOKUP(E27,'radky_R'!$A:$B,2,0),IF(C27="Výsledovka",VLOOKUP(E27,'radky_V'!A:M,2,0)))))</f>
        <v>Zápůjčky a úvěry - ostatní</v>
      </c>
      <c r="R27" s="154" t="str">
        <f>IF(ISBLANK(L27),"není alternativa",IF(L27="-","není ve výkazech",VLOOKUP(L27,'radky_R'!$A:$B,2,0)))</f>
        <v>není alternativa</v>
      </c>
    </row>
    <row r="28" spans="1:20" x14ac:dyDescent="0.3">
      <c r="A28" s="275">
        <v>69</v>
      </c>
      <c r="B28" s="157" t="s">
        <v>16</v>
      </c>
      <c r="C28" s="157" t="s">
        <v>351</v>
      </c>
      <c r="D28" s="158" t="s">
        <v>279</v>
      </c>
      <c r="E28" s="423">
        <v>35</v>
      </c>
      <c r="F28" s="419" t="s">
        <v>240</v>
      </c>
      <c r="G28" s="419" t="s">
        <v>256</v>
      </c>
      <c r="H28" s="419" t="s">
        <v>248</v>
      </c>
      <c r="I28" s="419" t="s">
        <v>242</v>
      </c>
      <c r="J28" s="419"/>
      <c r="K28" s="154" t="str">
        <f>IF(ISBLANK(E28),"ručně doplnit",IF(E28="-","není ve výkazech",IF(C28="Rozvaha",VLOOKUP(E28,'radky_R'!$A:$B,2,0),IF(C28="Výsledovka",VLOOKUP(E28,'radky_V'!A:M,2,0)))))</f>
        <v>Jiný dlouhodobý finanční majetek</v>
      </c>
      <c r="R28" s="154" t="str">
        <f>IF(ISBLANK(L28),"není alternativa",IF(L28="-","není ve výkazech",VLOOKUP(L28,'radky_R'!$A:$B,2,0)))</f>
        <v>není alternativa</v>
      </c>
      <c r="S28" s="157" t="s">
        <v>255</v>
      </c>
      <c r="T28" s="157" t="s">
        <v>877</v>
      </c>
    </row>
    <row r="29" spans="1:20" x14ac:dyDescent="0.3">
      <c r="A29" s="275">
        <v>71</v>
      </c>
      <c r="C29" s="157" t="s">
        <v>351</v>
      </c>
      <c r="D29" s="158" t="s">
        <v>279</v>
      </c>
      <c r="E29" s="275"/>
      <c r="K29" s="154" t="str">
        <f>IF(ISBLANK(E29),"ručně doplnit",IF(E29="-","není ve výkazech",IF(C29="Rozvaha",VLOOKUP(E29,'radky_R'!$A:$B,2,0),IF(C29="Výsledovka",VLOOKUP(E29,'radky_V'!A:M,2,0)))))</f>
        <v>ručně doplnit</v>
      </c>
      <c r="R29" s="154" t="str">
        <f>IF(ISBLANK(L29),"není alternativa",IF(L29="-","není ve výkazech",VLOOKUP(L29,'radky_R'!$A:$B,2,0)))</f>
        <v>není alternativa</v>
      </c>
      <c r="S29" s="157" t="s">
        <v>257</v>
      </c>
      <c r="T29" s="157" t="s">
        <v>876</v>
      </c>
    </row>
    <row r="30" spans="1:20" x14ac:dyDescent="0.3">
      <c r="A30" s="275">
        <v>72</v>
      </c>
      <c r="B30" s="157" t="s">
        <v>17</v>
      </c>
      <c r="C30" s="157" t="s">
        <v>351</v>
      </c>
      <c r="D30" s="158" t="s">
        <v>279</v>
      </c>
      <c r="E30" s="423">
        <v>5</v>
      </c>
      <c r="F30" s="419" t="s">
        <v>240</v>
      </c>
      <c r="G30" s="419" t="s">
        <v>241</v>
      </c>
      <c r="H30" s="419" t="s">
        <v>242</v>
      </c>
      <c r="I30" s="419"/>
      <c r="J30" s="419"/>
      <c r="K30" s="154" t="str">
        <f>IF(ISBLANK(E30),"ručně doplnit",IF(E30="-","není ve výkazech",IF(C30="Rozvaha",VLOOKUP(E30,'radky_R'!$A:$B,2,0),IF(C30="Výsledovka",VLOOKUP(E30,'radky_V'!A:M,2,0)))))</f>
        <v xml:space="preserve">Nehmotné výsledky vývoje </v>
      </c>
      <c r="R30" s="154" t="str">
        <f>IF(ISBLANK(L30),"není alternativa",IF(L30="-","není ve výkazech",VLOOKUP(L30,'radky_R'!$A:$B,2,0)))</f>
        <v>není alternativa</v>
      </c>
      <c r="S30" s="157" t="s">
        <v>257</v>
      </c>
      <c r="T30" s="157" t="s">
        <v>876</v>
      </c>
    </row>
    <row r="31" spans="1:20" x14ac:dyDescent="0.3">
      <c r="A31" s="275">
        <v>73</v>
      </c>
      <c r="B31" s="157" t="s">
        <v>18</v>
      </c>
      <c r="C31" s="157" t="s">
        <v>351</v>
      </c>
      <c r="D31" s="158" t="s">
        <v>279</v>
      </c>
      <c r="E31" s="423">
        <v>7</v>
      </c>
      <c r="F31" s="419" t="s">
        <v>240</v>
      </c>
      <c r="G31" s="419" t="s">
        <v>241</v>
      </c>
      <c r="H31" s="419" t="s">
        <v>243</v>
      </c>
      <c r="I31" s="419" t="s">
        <v>242</v>
      </c>
      <c r="J31" s="419"/>
      <c r="K31" s="154" t="str">
        <f>IF(ISBLANK(E31),"ručně doplnit",IF(E31="-","není ve výkazech",IF(C31="Rozvaha",VLOOKUP(E31,'radky_R'!$A:$B,2,0),IF(C31="Výsledovka",VLOOKUP(E31,'radky_V'!A:M,2,0)))))</f>
        <v>Software</v>
      </c>
      <c r="R31" s="154" t="str">
        <f>IF(ISBLANK(L31),"není alternativa",IF(L31="-","není ve výkazech",VLOOKUP(L31,'radky_R'!$A:$B,2,0)))</f>
        <v>není alternativa</v>
      </c>
      <c r="S31" s="157" t="s">
        <v>257</v>
      </c>
      <c r="T31" s="157" t="s">
        <v>876</v>
      </c>
    </row>
    <row r="32" spans="1:20" x14ac:dyDescent="0.3">
      <c r="A32" s="275">
        <v>74</v>
      </c>
      <c r="B32" s="157" t="s">
        <v>1016</v>
      </c>
      <c r="C32" s="157" t="s">
        <v>351</v>
      </c>
      <c r="D32" s="158" t="s">
        <v>279</v>
      </c>
      <c r="E32" s="423">
        <v>8</v>
      </c>
      <c r="F32" s="419" t="s">
        <v>240</v>
      </c>
      <c r="G32" s="419" t="s">
        <v>241</v>
      </c>
      <c r="H32" s="419" t="s">
        <v>243</v>
      </c>
      <c r="I32" s="419" t="s">
        <v>243</v>
      </c>
      <c r="J32" s="419"/>
      <c r="K32" s="154" t="str">
        <f>IF(ISBLANK(E32),"ručně doplnit",IF(E32="-","není ve výkazech",IF(C32="Rozvaha",VLOOKUP(E32,'radky_R'!$A:$B,2,0),IF(C32="Výsledovka",VLOOKUP(E32,'radky_V'!A:M,2,0)))))</f>
        <v>Ostatní ocenitelná práva</v>
      </c>
      <c r="R32" s="154" t="str">
        <f>IF(ISBLANK(L32),"není alternativa",IF(L32="-","není ve výkazech",VLOOKUP(L32,'radky_R'!$A:$B,2,0)))</f>
        <v>není alternativa</v>
      </c>
      <c r="S32" s="157" t="s">
        <v>257</v>
      </c>
      <c r="T32" s="157" t="s">
        <v>876</v>
      </c>
    </row>
    <row r="33" spans="1:20" x14ac:dyDescent="0.3">
      <c r="A33" s="275">
        <v>75</v>
      </c>
      <c r="B33" s="157" t="s">
        <v>19</v>
      </c>
      <c r="C33" s="157" t="s">
        <v>351</v>
      </c>
      <c r="D33" s="158" t="s">
        <v>279</v>
      </c>
      <c r="E33" s="423">
        <v>9</v>
      </c>
      <c r="F33" s="419" t="s">
        <v>240</v>
      </c>
      <c r="G33" s="419" t="s">
        <v>241</v>
      </c>
      <c r="H33" s="419" t="s">
        <v>244</v>
      </c>
      <c r="I33" s="419"/>
      <c r="J33" s="419"/>
      <c r="K33" s="154" t="str">
        <f>IF(ISBLANK(E33),"ručně doplnit",IF(E33="-","není ve výkazech",IF(C33="Rozvaha",VLOOKUP(E33,'radky_R'!$A:$B,2,0),IF(C33="Výsledovka",VLOOKUP(E33,'radky_V'!A:M,2,0)))))</f>
        <v>Goodwill</v>
      </c>
      <c r="R33" s="154" t="str">
        <f>IF(ISBLANK(L33),"není alternativa",IF(L33="-","není ve výkazech",VLOOKUP(L33,'radky_R'!$A:$B,2,0)))</f>
        <v>není alternativa</v>
      </c>
      <c r="S33" s="157" t="s">
        <v>257</v>
      </c>
      <c r="T33" s="157" t="s">
        <v>876</v>
      </c>
    </row>
    <row r="34" spans="1:20" x14ac:dyDescent="0.3">
      <c r="A34" s="275">
        <v>79</v>
      </c>
      <c r="B34" s="157" t="s">
        <v>1017</v>
      </c>
      <c r="C34" s="157" t="s">
        <v>351</v>
      </c>
      <c r="D34" s="158" t="s">
        <v>279</v>
      </c>
      <c r="E34" s="423">
        <v>10</v>
      </c>
      <c r="F34" s="419" t="s">
        <v>240</v>
      </c>
      <c r="G34" s="419" t="s">
        <v>241</v>
      </c>
      <c r="H34" s="419" t="s">
        <v>245</v>
      </c>
      <c r="I34" s="419"/>
      <c r="J34" s="419"/>
      <c r="K34" s="154" t="str">
        <f>IF(ISBLANK(E34),"ručně doplnit",IF(E34="-","není ve výkazech",IF(C34="Rozvaha",VLOOKUP(E34,'radky_R'!$A:$B,2,0),IF(C34="Výsledovka",VLOOKUP(E34,'radky_V'!A:M,2,0)))))</f>
        <v>Ostatní dlouhodobý nehmotný majetek</v>
      </c>
      <c r="R34" s="154" t="str">
        <f>IF(ISBLANK(L34),"není alternativa",IF(L34="-","není ve výkazech",VLOOKUP(L34,'radky_R'!$A:$B,2,0)))</f>
        <v>není alternativa</v>
      </c>
      <c r="S34" s="157" t="s">
        <v>257</v>
      </c>
      <c r="T34" s="157" t="s">
        <v>876</v>
      </c>
    </row>
    <row r="35" spans="1:20" x14ac:dyDescent="0.3">
      <c r="A35" s="275">
        <v>81</v>
      </c>
      <c r="B35" s="157" t="s">
        <v>20</v>
      </c>
      <c r="C35" s="157" t="s">
        <v>351</v>
      </c>
      <c r="D35" s="158" t="s">
        <v>279</v>
      </c>
      <c r="E35" s="423">
        <v>17</v>
      </c>
      <c r="F35" s="419" t="s">
        <v>240</v>
      </c>
      <c r="G35" s="419" t="s">
        <v>251</v>
      </c>
      <c r="H35" s="419" t="s">
        <v>242</v>
      </c>
      <c r="I35" s="419" t="s">
        <v>243</v>
      </c>
      <c r="J35" s="419"/>
      <c r="K35" s="154" t="str">
        <f>IF(ISBLANK(E35),"ručně doplnit",IF(E35="-","není ve výkazech",IF(C35="Rozvaha",VLOOKUP(E35,'radky_R'!$A:$B,2,0),IF(C35="Výsledovka",VLOOKUP(E35,'radky_V'!A:M,2,0)))))</f>
        <v>Stavby</v>
      </c>
      <c r="R35" s="154" t="str">
        <f>IF(ISBLANK(L35),"není alternativa",IF(L35="-","není ve výkazech",VLOOKUP(L35,'radky_R'!$A:$B,2,0)))</f>
        <v>není alternativa</v>
      </c>
      <c r="S35" s="157" t="s">
        <v>257</v>
      </c>
      <c r="T35" s="157" t="s">
        <v>876</v>
      </c>
    </row>
    <row r="36" spans="1:20" x14ac:dyDescent="0.3">
      <c r="A36" s="275">
        <v>82</v>
      </c>
      <c r="B36" s="157" t="s">
        <v>1018</v>
      </c>
      <c r="C36" s="157" t="s">
        <v>351</v>
      </c>
      <c r="D36" s="158" t="s">
        <v>279</v>
      </c>
      <c r="E36" s="423">
        <v>18</v>
      </c>
      <c r="F36" s="419" t="s">
        <v>240</v>
      </c>
      <c r="G36" s="419" t="s">
        <v>251</v>
      </c>
      <c r="H36" s="419" t="s">
        <v>243</v>
      </c>
      <c r="I36" s="419"/>
      <c r="J36" s="419"/>
      <c r="K36" s="154" t="str">
        <f>IF(ISBLANK(E36),"ručně doplnit",IF(E36="-","není ve výkazech",IF(C36="Rozvaha",VLOOKUP(E36,'radky_R'!$A:$B,2,0),IF(C36="Výsledovka",VLOOKUP(E36,'radky_V'!A:M,2,0)))))</f>
        <v>Hmotné movité věci a jejich soubory</v>
      </c>
      <c r="R36" s="154" t="str">
        <f>IF(ISBLANK(L36),"není alternativa",IF(L36="-","není ve výkazech",VLOOKUP(L36,'radky_R'!$A:$B,2,0)))</f>
        <v>není alternativa</v>
      </c>
      <c r="S36" s="157" t="s">
        <v>257</v>
      </c>
      <c r="T36" s="157" t="s">
        <v>876</v>
      </c>
    </row>
    <row r="37" spans="1:20" x14ac:dyDescent="0.3">
      <c r="A37" s="275">
        <v>85</v>
      </c>
      <c r="B37" s="157" t="s">
        <v>21</v>
      </c>
      <c r="C37" s="157" t="s">
        <v>351</v>
      </c>
      <c r="D37" s="158" t="s">
        <v>279</v>
      </c>
      <c r="E37" s="423">
        <v>21</v>
      </c>
      <c r="F37" s="419" t="s">
        <v>240</v>
      </c>
      <c r="G37" s="419" t="s">
        <v>251</v>
      </c>
      <c r="H37" s="419" t="s">
        <v>245</v>
      </c>
      <c r="I37" s="419" t="s">
        <v>242</v>
      </c>
      <c r="J37" s="419"/>
      <c r="K37" s="154" t="str">
        <f>IF(ISBLANK(E37),"ručně doplnit",IF(E37="-","není ve výkazech",IF(C37="Rozvaha",VLOOKUP(E37,'radky_R'!$A:$B,2,0),IF(C37="Výsledovka",VLOOKUP(E37,'radky_V'!A:M,2,0)))))</f>
        <v>Pěstitelské celky trvalých porostů</v>
      </c>
      <c r="R37" s="154" t="str">
        <f>IF(ISBLANK(L37),"není alternativa",IF(L37="-","není ve výkazech",VLOOKUP(L37,'radky_R'!$A:$B,2,0)))</f>
        <v>není alternativa</v>
      </c>
      <c r="S37" s="157" t="s">
        <v>257</v>
      </c>
      <c r="T37" s="157" t="s">
        <v>876</v>
      </c>
    </row>
    <row r="38" spans="1:20" x14ac:dyDescent="0.3">
      <c r="A38" s="275">
        <v>86</v>
      </c>
      <c r="B38" s="157" t="s">
        <v>22</v>
      </c>
      <c r="C38" s="157" t="s">
        <v>351</v>
      </c>
      <c r="D38" s="158" t="s">
        <v>279</v>
      </c>
      <c r="E38" s="423">
        <v>22</v>
      </c>
      <c r="F38" s="419" t="s">
        <v>240</v>
      </c>
      <c r="G38" s="419" t="s">
        <v>251</v>
      </c>
      <c r="H38" s="419" t="s">
        <v>245</v>
      </c>
      <c r="I38" s="419" t="s">
        <v>243</v>
      </c>
      <c r="J38" s="419"/>
      <c r="K38" s="154" t="str">
        <f>IF(ISBLANK(E38),"ručně doplnit",IF(E38="-","není ve výkazech",IF(C38="Rozvaha",VLOOKUP(E38,'radky_R'!$A:$B,2,0),IF(C38="Výsledovka",VLOOKUP(E38,'radky_V'!A:M,2,0)))))</f>
        <v>Dospělá zvířata a jejich skupiny</v>
      </c>
      <c r="R38" s="154" t="str">
        <f>IF(ISBLANK(L38),"není alternativa",IF(L38="-","není ve výkazech",VLOOKUP(L38,'radky_R'!$A:$B,2,0)))</f>
        <v>není alternativa</v>
      </c>
      <c r="S38" s="157" t="s">
        <v>257</v>
      </c>
      <c r="T38" s="157" t="s">
        <v>876</v>
      </c>
    </row>
    <row r="39" spans="1:20" x14ac:dyDescent="0.3">
      <c r="A39" s="275">
        <v>89</v>
      </c>
      <c r="B39" s="157" t="s">
        <v>23</v>
      </c>
      <c r="C39" s="157" t="s">
        <v>351</v>
      </c>
      <c r="D39" s="158" t="s">
        <v>279</v>
      </c>
      <c r="E39" s="423">
        <v>23</v>
      </c>
      <c r="F39" s="419" t="s">
        <v>240</v>
      </c>
      <c r="G39" s="419" t="s">
        <v>251</v>
      </c>
      <c r="H39" s="419" t="s">
        <v>245</v>
      </c>
      <c r="I39" s="419" t="s">
        <v>244</v>
      </c>
      <c r="J39" s="419"/>
      <c r="K39" s="154" t="str">
        <f>IF(ISBLANK(E39),"ručně doplnit",IF(E39="-","není ve výkazech",IF(C39="Rozvaha",VLOOKUP(E39,'radky_R'!$A:$B,2,0),IF(C39="Výsledovka",VLOOKUP(E39,'radky_V'!A:M,2,0)))))</f>
        <v>Jiný dlouhodobý hmotný majetek</v>
      </c>
      <c r="R39" s="154" t="str">
        <f>IF(ISBLANK(L39),"není alternativa",IF(L39="-","není ve výkazech",VLOOKUP(L39,'radky_R'!$A:$B,2,0)))</f>
        <v>není alternativa</v>
      </c>
      <c r="S39" s="157" t="s">
        <v>257</v>
      </c>
      <c r="T39" s="157" t="s">
        <v>876</v>
      </c>
    </row>
    <row r="40" spans="1:20" x14ac:dyDescent="0.3">
      <c r="A40" s="275">
        <v>91</v>
      </c>
      <c r="B40" s="157" t="s">
        <v>24</v>
      </c>
      <c r="C40" s="157" t="s">
        <v>351</v>
      </c>
      <c r="D40" s="158" t="s">
        <v>279</v>
      </c>
      <c r="E40" s="422"/>
      <c r="F40" s="420"/>
      <c r="G40" s="420"/>
      <c r="H40" s="420"/>
      <c r="I40" s="420"/>
      <c r="J40" s="420"/>
      <c r="K40" s="154" t="str">
        <f>IF(ISBLANK(E40),"ručně doplnit",IF(E40="-","není ve výkazech",IF(C40="Rozvaha",VLOOKUP(E40,'radky_R'!$A:$B,2,0),IF(C40="Výsledovka",VLOOKUP(E40,'radky_V'!A:M,2,0)))))</f>
        <v>ručně doplnit</v>
      </c>
      <c r="R40" s="154" t="str">
        <f>IF(ISBLANK(L40),"není alternativa",IF(L40="-","není ve výkazech",VLOOKUP(L40,'radky_R'!$A:$B,2,0)))</f>
        <v>není alternativa</v>
      </c>
      <c r="S40" s="157" t="s">
        <v>257</v>
      </c>
      <c r="T40" s="157" t="s">
        <v>876</v>
      </c>
    </row>
    <row r="41" spans="1:20" x14ac:dyDescent="0.3">
      <c r="A41" s="275">
        <v>92</v>
      </c>
      <c r="B41" s="157" t="s">
        <v>25</v>
      </c>
      <c r="C41" s="157" t="s">
        <v>351</v>
      </c>
      <c r="D41" s="158" t="s">
        <v>279</v>
      </c>
      <c r="E41" s="423"/>
      <c r="F41" s="419" t="s">
        <v>240</v>
      </c>
      <c r="G41" s="419" t="s">
        <v>251</v>
      </c>
      <c r="H41" s="419" t="s">
        <v>242</v>
      </c>
      <c r="I41" s="419" t="s">
        <v>242</v>
      </c>
      <c r="J41" s="419"/>
      <c r="K41" s="154" t="str">
        <f>IF(ISBLANK(E41),"ručně doplnit",IF(E41="-","není ve výkazech",IF(C41="Rozvaha",VLOOKUP(E41,'radky_R'!$A:$B,2,0),IF(C41="Výsledovka",VLOOKUP(E41,'radky_V'!A:M,2,0)))))</f>
        <v>ručně doplnit</v>
      </c>
      <c r="R41" s="154" t="str">
        <f>IF(ISBLANK(L41),"není alternativa",IF(L41="-","není ve výkazech",VLOOKUP(L41,'radky_R'!$A:$B,2,0)))</f>
        <v>není alternativa</v>
      </c>
      <c r="S41" s="157" t="s">
        <v>257</v>
      </c>
      <c r="T41" s="157" t="s">
        <v>876</v>
      </c>
    </row>
    <row r="42" spans="1:20" x14ac:dyDescent="0.3">
      <c r="A42" s="275">
        <v>92</v>
      </c>
      <c r="B42" s="157" t="s">
        <v>25</v>
      </c>
      <c r="C42" s="157" t="s">
        <v>351</v>
      </c>
      <c r="D42" s="158" t="s">
        <v>279</v>
      </c>
      <c r="E42" s="423"/>
      <c r="F42" s="419" t="s">
        <v>240</v>
      </c>
      <c r="G42" s="419" t="s">
        <v>251</v>
      </c>
      <c r="H42" s="419" t="s">
        <v>242</v>
      </c>
      <c r="I42" s="419" t="s">
        <v>243</v>
      </c>
      <c r="J42" s="419"/>
      <c r="K42" s="154" t="str">
        <f>IF(ISBLANK(E42),"ručně doplnit",IF(E42="-","není ve výkazech",IF(C42="Rozvaha",VLOOKUP(E42,'radky_R'!$A:$B,2,0),IF(C42="Výsledovka",VLOOKUP(E42,'radky_V'!A:M,2,0)))))</f>
        <v>ručně doplnit</v>
      </c>
      <c r="R42" s="154" t="str">
        <f>IF(ISBLANK(L42),"není alternativa",IF(L42="-","není ve výkazech",VLOOKUP(L42,'radky_R'!$A:$B,2,0)))</f>
        <v>není alternativa</v>
      </c>
      <c r="S42" s="157" t="s">
        <v>257</v>
      </c>
      <c r="T42" s="157" t="s">
        <v>876</v>
      </c>
    </row>
    <row r="43" spans="1:20" x14ac:dyDescent="0.3">
      <c r="A43" s="275">
        <v>92</v>
      </c>
      <c r="B43" s="157" t="s">
        <v>25</v>
      </c>
      <c r="C43" s="157" t="s">
        <v>351</v>
      </c>
      <c r="D43" s="158" t="s">
        <v>279</v>
      </c>
      <c r="E43" s="423"/>
      <c r="F43" s="419" t="s">
        <v>240</v>
      </c>
      <c r="G43" s="419" t="s">
        <v>251</v>
      </c>
      <c r="H43" s="419" t="s">
        <v>243</v>
      </c>
      <c r="I43" s="419"/>
      <c r="J43" s="419"/>
      <c r="K43" s="154" t="str">
        <f>IF(ISBLANK(E43),"ručně doplnit",IF(E43="-","není ve výkazech",IF(C43="Rozvaha",VLOOKUP(E43,'radky_R'!$A:$B,2,0),IF(C43="Výsledovka",VLOOKUP(E43,'radky_V'!A:M,2,0)))))</f>
        <v>ručně doplnit</v>
      </c>
      <c r="R43" s="154" t="str">
        <f>IF(ISBLANK(L43),"není alternativa",IF(L43="-","není ve výkazech",VLOOKUP(L43,'radky_R'!$A:$B,2,0)))</f>
        <v>není alternativa</v>
      </c>
      <c r="S43" s="157" t="s">
        <v>257</v>
      </c>
      <c r="T43" s="157" t="s">
        <v>876</v>
      </c>
    </row>
    <row r="44" spans="1:20" x14ac:dyDescent="0.3">
      <c r="A44" s="275">
        <v>92</v>
      </c>
      <c r="B44" s="157" t="s">
        <v>25</v>
      </c>
      <c r="C44" s="157" t="s">
        <v>351</v>
      </c>
      <c r="D44" s="158" t="s">
        <v>279</v>
      </c>
      <c r="E44" s="423"/>
      <c r="F44" s="419" t="s">
        <v>240</v>
      </c>
      <c r="G44" s="419" t="s">
        <v>251</v>
      </c>
      <c r="H44" s="419" t="s">
        <v>245</v>
      </c>
      <c r="I44" s="419" t="s">
        <v>242</v>
      </c>
      <c r="J44" s="419"/>
      <c r="K44" s="154" t="str">
        <f>IF(ISBLANK(E44),"ručně doplnit",IF(E44="-","není ve výkazech",IF(C44="Rozvaha",VLOOKUP(E44,'radky_R'!$A:$B,2,0),IF(C44="Výsledovka",VLOOKUP(E44,'radky_V'!A:M,2,0)))))</f>
        <v>ručně doplnit</v>
      </c>
      <c r="R44" s="154" t="str">
        <f>IF(ISBLANK(L44),"není alternativa",IF(L44="-","není ve výkazech",VLOOKUP(L44,'radky_R'!$A:$B,2,0)))</f>
        <v>není alternativa</v>
      </c>
      <c r="S44" s="157" t="s">
        <v>257</v>
      </c>
      <c r="T44" s="157" t="s">
        <v>876</v>
      </c>
    </row>
    <row r="45" spans="1:20" x14ac:dyDescent="0.3">
      <c r="A45" s="275">
        <v>92</v>
      </c>
      <c r="B45" s="157" t="s">
        <v>25</v>
      </c>
      <c r="C45" s="157" t="s">
        <v>351</v>
      </c>
      <c r="D45" s="158" t="s">
        <v>279</v>
      </c>
      <c r="E45" s="423"/>
      <c r="F45" s="419" t="s">
        <v>240</v>
      </c>
      <c r="G45" s="419" t="s">
        <v>251</v>
      </c>
      <c r="H45" s="419" t="s">
        <v>245</v>
      </c>
      <c r="I45" s="419" t="s">
        <v>243</v>
      </c>
      <c r="J45" s="419"/>
      <c r="K45" s="154" t="str">
        <f>IF(ISBLANK(E45),"ručně doplnit",IF(E45="-","není ve výkazech",IF(C45="Rozvaha",VLOOKUP(E45,'radky_R'!$A:$B,2,0),IF(C45="Výsledovka",VLOOKUP(E45,'radky_V'!A:M,2,0)))))</f>
        <v>ručně doplnit</v>
      </c>
      <c r="R45" s="154" t="str">
        <f>IF(ISBLANK(L45),"není alternativa",IF(L45="-","není ve výkazech",VLOOKUP(L45,'radky_R'!$A:$B,2,0)))</f>
        <v>není alternativa</v>
      </c>
      <c r="S45" s="157" t="s">
        <v>257</v>
      </c>
      <c r="T45" s="157" t="s">
        <v>876</v>
      </c>
    </row>
    <row r="46" spans="1:20" x14ac:dyDescent="0.3">
      <c r="A46" s="275">
        <v>92</v>
      </c>
      <c r="B46" s="157" t="s">
        <v>25</v>
      </c>
      <c r="C46" s="157" t="s">
        <v>351</v>
      </c>
      <c r="D46" s="158" t="s">
        <v>279</v>
      </c>
      <c r="E46" s="423"/>
      <c r="F46" s="419" t="s">
        <v>240</v>
      </c>
      <c r="G46" s="419" t="s">
        <v>251</v>
      </c>
      <c r="H46" s="419" t="s">
        <v>245</v>
      </c>
      <c r="I46" s="419" t="s">
        <v>244</v>
      </c>
      <c r="J46" s="419"/>
      <c r="K46" s="154" t="str">
        <f>IF(ISBLANK(E46),"ručně doplnit",IF(E46="-","není ve výkazech",IF(C46="Rozvaha",VLOOKUP(E46,'radky_R'!$A:$B,2,0),IF(C46="Výsledovka",VLOOKUP(E46,'radky_V'!A:M,2,0)))))</f>
        <v>ručně doplnit</v>
      </c>
      <c r="R46" s="154" t="str">
        <f>IF(ISBLANK(L46),"není alternativa",IF(L46="-","není ve výkazech",VLOOKUP(L46,'radky_R'!$A:$B,2,0)))</f>
        <v>není alternativa</v>
      </c>
      <c r="S46" s="157" t="s">
        <v>257</v>
      </c>
      <c r="T46" s="157" t="s">
        <v>876</v>
      </c>
    </row>
    <row r="47" spans="1:20" x14ac:dyDescent="0.3">
      <c r="A47" s="275">
        <v>93</v>
      </c>
      <c r="B47" s="157" t="s">
        <v>26</v>
      </c>
      <c r="C47" s="157" t="s">
        <v>351</v>
      </c>
      <c r="D47" s="158" t="s">
        <v>279</v>
      </c>
      <c r="E47" s="423">
        <v>13</v>
      </c>
      <c r="F47" s="419" t="s">
        <v>240</v>
      </c>
      <c r="G47" s="419" t="s">
        <v>241</v>
      </c>
      <c r="H47" s="419" t="s">
        <v>246</v>
      </c>
      <c r="I47" s="419" t="s">
        <v>243</v>
      </c>
      <c r="J47" s="419"/>
      <c r="K47" s="154" t="str">
        <f>IF(ISBLANK(E47),"ručně doplnit",IF(E47="-","není ve výkazech",IF(C47="Rozvaha",VLOOKUP(E47,'radky_R'!$A:$B,2,0),IF(C47="Výsledovka",VLOOKUP(E47,'radky_V'!A:M,2,0)))))</f>
        <v>Nedokončený dlouhodobý nehmotný majetek</v>
      </c>
      <c r="R47" s="154" t="str">
        <f>IF(ISBLANK(L47),"není alternativa",IF(L47="-","není ve výkazech",VLOOKUP(L47,'radky_R'!$A:$B,2,0)))</f>
        <v>není alternativa</v>
      </c>
      <c r="S47" s="157" t="s">
        <v>257</v>
      </c>
      <c r="T47" s="157" t="s">
        <v>876</v>
      </c>
    </row>
    <row r="48" spans="1:20" x14ac:dyDescent="0.3">
      <c r="A48" s="275">
        <v>94</v>
      </c>
      <c r="B48" s="157" t="s">
        <v>27</v>
      </c>
      <c r="C48" s="157" t="s">
        <v>351</v>
      </c>
      <c r="D48" s="158" t="s">
        <v>279</v>
      </c>
      <c r="E48" s="423">
        <v>26</v>
      </c>
      <c r="F48" s="419" t="s">
        <v>240</v>
      </c>
      <c r="G48" s="419" t="s">
        <v>251</v>
      </c>
      <c r="H48" s="419" t="s">
        <v>246</v>
      </c>
      <c r="I48" s="419" t="s">
        <v>243</v>
      </c>
      <c r="J48" s="419"/>
      <c r="K48" s="154" t="str">
        <f>IF(ISBLANK(E48),"ručně doplnit",IF(E48="-","není ve výkazech",IF(C48="Rozvaha",VLOOKUP(E48,'radky_R'!$A:$B,2,0),IF(C48="Výsledovka",VLOOKUP(E48,'radky_V'!A:M,2,0)))))</f>
        <v>Nedokončený dlouhodobý hmotný majetek</v>
      </c>
      <c r="R48" s="154" t="str">
        <f>IF(ISBLANK(L48),"není alternativa",IF(L48="-","není ve výkazech",VLOOKUP(L48,'radky_R'!$A:$B,2,0)))</f>
        <v>není alternativa</v>
      </c>
      <c r="S48" s="157" t="s">
        <v>257</v>
      </c>
      <c r="T48" s="157" t="s">
        <v>876</v>
      </c>
    </row>
    <row r="49" spans="1:20" x14ac:dyDescent="0.3">
      <c r="A49" s="275">
        <v>95</v>
      </c>
      <c r="B49" s="157" t="s">
        <v>28</v>
      </c>
      <c r="C49" s="157" t="s">
        <v>351</v>
      </c>
      <c r="D49" s="158" t="s">
        <v>279</v>
      </c>
      <c r="E49" s="422"/>
      <c r="F49" s="420"/>
      <c r="G49" s="420"/>
      <c r="H49" s="420"/>
      <c r="I49" s="420"/>
      <c r="J49" s="420"/>
      <c r="K49" s="154" t="str">
        <f>IF(ISBLANK(E49),"ručně doplnit",IF(E49="-","není ve výkazech",IF(C49="Rozvaha",VLOOKUP(E49,'radky_R'!$A:$B,2,0),IF(C49="Výsledovka",VLOOKUP(E49,'radky_V'!A:M,2,0)))))</f>
        <v>ručně doplnit</v>
      </c>
      <c r="R49" s="154" t="str">
        <f>IF(ISBLANK(L49),"není alternativa",IF(L49="-","není ve výkazech",VLOOKUP(L49,'radky_R'!$A:$B,2,0)))</f>
        <v>není alternativa</v>
      </c>
      <c r="S49" s="157" t="s">
        <v>257</v>
      </c>
      <c r="T49" s="157" t="s">
        <v>876</v>
      </c>
    </row>
    <row r="50" spans="1:20" x14ac:dyDescent="0.3">
      <c r="A50" s="275">
        <v>96</v>
      </c>
      <c r="B50" s="157" t="s">
        <v>29</v>
      </c>
      <c r="C50" s="157" t="s">
        <v>351</v>
      </c>
      <c r="D50" s="158" t="s">
        <v>279</v>
      </c>
      <c r="E50" s="422"/>
      <c r="F50" s="420"/>
      <c r="G50" s="420"/>
      <c r="H50" s="420"/>
      <c r="I50" s="420"/>
      <c r="J50" s="420"/>
      <c r="K50" s="154" t="str">
        <f>IF(ISBLANK(E50),"ručně doplnit",IF(E50="-","není ve výkazech",IF(C50="Rozvaha",VLOOKUP(E50,'radky_R'!$A:$B,2,0),IF(C50="Výsledovka",VLOOKUP(E50,'radky_V'!A:M,2,0)))))</f>
        <v>ručně doplnit</v>
      </c>
      <c r="R50" s="154" t="str">
        <f>IF(ISBLANK(L50),"není alternativa",IF(L50="-","není ve výkazech",VLOOKUP(L50,'radky_R'!$A:$B,2,0)))</f>
        <v>není alternativa</v>
      </c>
      <c r="S50" s="157" t="s">
        <v>257</v>
      </c>
      <c r="T50" s="157" t="s">
        <v>877</v>
      </c>
    </row>
    <row r="51" spans="1:20" x14ac:dyDescent="0.3">
      <c r="A51" s="275">
        <v>97</v>
      </c>
      <c r="B51" s="157" t="s">
        <v>30</v>
      </c>
      <c r="C51" s="157" t="s">
        <v>351</v>
      </c>
      <c r="D51" s="158" t="s">
        <v>279</v>
      </c>
      <c r="E51" s="423">
        <v>19</v>
      </c>
      <c r="F51" s="419" t="s">
        <v>240</v>
      </c>
      <c r="G51" s="419" t="s">
        <v>251</v>
      </c>
      <c r="H51" s="419" t="s">
        <v>244</v>
      </c>
      <c r="I51" s="419"/>
      <c r="J51" s="419"/>
      <c r="K51" s="154" t="str">
        <f>IF(ISBLANK(E51),"ručně doplnit",IF(E51="-","není ve výkazech",IF(C51="Rozvaha",VLOOKUP(E51,'radky_R'!$A:$B,2,0),IF(C51="Výsledovka",VLOOKUP(E51,'radky_V'!A:M,2,0)))))</f>
        <v>Oceňovací rozdíl k nabytému majetku</v>
      </c>
      <c r="R51" s="154" t="str">
        <f>IF(ISBLANK(L51),"není alternativa",IF(L51="-","není ve výkazech",VLOOKUP(L51,'radky_R'!$A:$B,2,0)))</f>
        <v>není alternativa</v>
      </c>
      <c r="S51" s="157" t="s">
        <v>255</v>
      </c>
      <c r="T51" s="157" t="s">
        <v>876</v>
      </c>
    </row>
    <row r="52" spans="1:20" x14ac:dyDescent="0.3">
      <c r="A52" s="275">
        <v>98</v>
      </c>
      <c r="B52" s="157" t="s">
        <v>31</v>
      </c>
      <c r="C52" s="157" t="s">
        <v>351</v>
      </c>
      <c r="D52" s="158" t="s">
        <v>279</v>
      </c>
      <c r="E52" s="423">
        <v>19</v>
      </c>
      <c r="F52" s="419" t="s">
        <v>240</v>
      </c>
      <c r="G52" s="419" t="s">
        <v>251</v>
      </c>
      <c r="H52" s="419" t="s">
        <v>244</v>
      </c>
      <c r="I52" s="419"/>
      <c r="J52" s="419"/>
      <c r="K52" s="154" t="str">
        <f>IF(ISBLANK(E52),"ručně doplnit",IF(E52="-","není ve výkazech",IF(C52="Rozvaha",VLOOKUP(E52,'radky_R'!$A:$B,2,0),IF(C52="Výsledovka",VLOOKUP(E52,'radky_V'!A:M,2,0)))))</f>
        <v>Oceňovací rozdíl k nabytému majetku</v>
      </c>
      <c r="R52" s="154" t="str">
        <f>IF(ISBLANK(L52),"není alternativa",IF(L52="-","není ve výkazech",VLOOKUP(L52,'radky_R'!$A:$B,2,0)))</f>
        <v>není alternativa</v>
      </c>
      <c r="S52" s="157" t="s">
        <v>257</v>
      </c>
      <c r="T52" s="157" t="s">
        <v>876</v>
      </c>
    </row>
    <row r="53" spans="1:20" x14ac:dyDescent="0.3">
      <c r="A53" s="275">
        <v>111</v>
      </c>
      <c r="B53" s="157" t="s">
        <v>32</v>
      </c>
      <c r="C53" s="157" t="s">
        <v>351</v>
      </c>
      <c r="D53" s="158" t="s">
        <v>279</v>
      </c>
      <c r="E53" s="423">
        <v>39</v>
      </c>
      <c r="F53" s="419" t="s">
        <v>265</v>
      </c>
      <c r="G53" s="419" t="s">
        <v>241</v>
      </c>
      <c r="H53" s="419" t="s">
        <v>242</v>
      </c>
      <c r="I53" s="419"/>
      <c r="J53" s="419"/>
      <c r="K53" s="154" t="str">
        <f>IF(ISBLANK(E53),"ručně doplnit",IF(E53="-","není ve výkazech",IF(C53="Rozvaha",VLOOKUP(E53,'radky_R'!$A:$B,2,0),IF(C53="Výsledovka",VLOOKUP(E53,'radky_V'!A:M,2,0)))))</f>
        <v>Materiál</v>
      </c>
      <c r="R53" s="154" t="str">
        <f>IF(ISBLANK(L53),"není alternativa",IF(L53="-","není ve výkazech",VLOOKUP(L53,'radky_R'!$A:$B,2,0)))</f>
        <v>není alternativa</v>
      </c>
      <c r="S53" s="157" t="s">
        <v>255</v>
      </c>
      <c r="T53" s="157" t="s">
        <v>878</v>
      </c>
    </row>
    <row r="54" spans="1:20" x14ac:dyDescent="0.3">
      <c r="A54" s="275">
        <v>112</v>
      </c>
      <c r="B54" s="157" t="s">
        <v>33</v>
      </c>
      <c r="C54" s="157" t="s">
        <v>351</v>
      </c>
      <c r="D54" s="158" t="s">
        <v>279</v>
      </c>
      <c r="E54" s="423">
        <v>39</v>
      </c>
      <c r="F54" s="419" t="s">
        <v>265</v>
      </c>
      <c r="G54" s="419" t="s">
        <v>241</v>
      </c>
      <c r="H54" s="419" t="s">
        <v>242</v>
      </c>
      <c r="I54" s="419"/>
      <c r="J54" s="419"/>
      <c r="K54" s="154" t="str">
        <f>IF(ISBLANK(E54),"ručně doplnit",IF(E54="-","není ve výkazech",IF(C54="Rozvaha",VLOOKUP(E54,'radky_R'!$A:$B,2,0),IF(C54="Výsledovka",VLOOKUP(E54,'radky_V'!A:M,2,0)))))</f>
        <v>Materiál</v>
      </c>
      <c r="R54" s="154" t="str">
        <f>IF(ISBLANK(L54),"není alternativa",IF(L54="-","není ve výkazech",VLOOKUP(L54,'radky_R'!$A:$B,2,0)))</f>
        <v>není alternativa</v>
      </c>
      <c r="S54" s="157" t="s">
        <v>255</v>
      </c>
      <c r="T54" s="157" t="s">
        <v>878</v>
      </c>
    </row>
    <row r="55" spans="1:20" x14ac:dyDescent="0.3">
      <c r="A55" s="275">
        <v>119</v>
      </c>
      <c r="B55" s="157" t="s">
        <v>34</v>
      </c>
      <c r="C55" s="157" t="s">
        <v>351</v>
      </c>
      <c r="D55" s="158" t="s">
        <v>279</v>
      </c>
      <c r="E55" s="423">
        <v>39</v>
      </c>
      <c r="F55" s="419" t="s">
        <v>265</v>
      </c>
      <c r="G55" s="419" t="s">
        <v>241</v>
      </c>
      <c r="H55" s="419" t="s">
        <v>242</v>
      </c>
      <c r="I55" s="419"/>
      <c r="J55" s="419"/>
      <c r="K55" s="154" t="str">
        <f>IF(ISBLANK(E55),"ručně doplnit",IF(E55="-","není ve výkazech",IF(C55="Rozvaha",VLOOKUP(E55,'radky_R'!$A:$B,2,0),IF(C55="Výsledovka",VLOOKUP(E55,'radky_V'!A:M,2,0)))))</f>
        <v>Materiál</v>
      </c>
      <c r="R55" s="154" t="str">
        <f>IF(ISBLANK(L55),"není alternativa",IF(L55="-","není ve výkazech",VLOOKUP(L55,'radky_R'!$A:$B,2,0)))</f>
        <v>není alternativa</v>
      </c>
      <c r="S55" s="157" t="s">
        <v>255</v>
      </c>
      <c r="T55" s="157" t="s">
        <v>878</v>
      </c>
    </row>
    <row r="56" spans="1:20" x14ac:dyDescent="0.3">
      <c r="A56" s="275">
        <v>121</v>
      </c>
      <c r="B56" s="157" t="s">
        <v>35</v>
      </c>
      <c r="C56" s="157" t="s">
        <v>351</v>
      </c>
      <c r="D56" s="158" t="s">
        <v>279</v>
      </c>
      <c r="E56" s="423">
        <v>40</v>
      </c>
      <c r="F56" s="419" t="s">
        <v>265</v>
      </c>
      <c r="G56" s="419" t="s">
        <v>241</v>
      </c>
      <c r="H56" s="419" t="s">
        <v>243</v>
      </c>
      <c r="I56" s="419"/>
      <c r="J56" s="419"/>
      <c r="K56" s="154" t="str">
        <f>IF(ISBLANK(E56),"ručně doplnit",IF(E56="-","není ve výkazech",IF(C56="Rozvaha",VLOOKUP(E56,'radky_R'!$A:$B,2,0),IF(C56="Výsledovka",VLOOKUP(E56,'radky_V'!A:M,2,0)))))</f>
        <v>Nedokončená výroba a polotovary</v>
      </c>
      <c r="R56" s="154" t="str">
        <f>IF(ISBLANK(L56),"není alternativa",IF(L56="-","není ve výkazech",VLOOKUP(L56,'radky_R'!$A:$B,2,0)))</f>
        <v>není alternativa</v>
      </c>
      <c r="S56" s="157" t="s">
        <v>255</v>
      </c>
      <c r="T56" s="157" t="s">
        <v>878</v>
      </c>
    </row>
    <row r="57" spans="1:20" x14ac:dyDescent="0.3">
      <c r="A57" s="275">
        <v>122</v>
      </c>
      <c r="B57" s="157" t="s">
        <v>36</v>
      </c>
      <c r="C57" s="157" t="s">
        <v>351</v>
      </c>
      <c r="D57" s="158" t="s">
        <v>279</v>
      </c>
      <c r="E57" s="423">
        <v>40</v>
      </c>
      <c r="F57" s="419" t="s">
        <v>265</v>
      </c>
      <c r="G57" s="419" t="s">
        <v>241</v>
      </c>
      <c r="H57" s="419" t="s">
        <v>243</v>
      </c>
      <c r="I57" s="419"/>
      <c r="J57" s="419"/>
      <c r="K57" s="154" t="str">
        <f>IF(ISBLANK(E57),"ručně doplnit",IF(E57="-","není ve výkazech",IF(C57="Rozvaha",VLOOKUP(E57,'radky_R'!$A:$B,2,0),IF(C57="Výsledovka",VLOOKUP(E57,'radky_V'!A:M,2,0)))))</f>
        <v>Nedokončená výroba a polotovary</v>
      </c>
      <c r="R57" s="154" t="str">
        <f>IF(ISBLANK(L57),"není alternativa",IF(L57="-","není ve výkazech",VLOOKUP(L57,'radky_R'!$A:$B,2,0)))</f>
        <v>není alternativa</v>
      </c>
      <c r="S57" s="157" t="s">
        <v>255</v>
      </c>
      <c r="T57" s="157" t="s">
        <v>878</v>
      </c>
    </row>
    <row r="58" spans="1:20" x14ac:dyDescent="0.3">
      <c r="A58" s="275">
        <v>123</v>
      </c>
      <c r="B58" s="157" t="s">
        <v>37</v>
      </c>
      <c r="C58" s="157" t="s">
        <v>351</v>
      </c>
      <c r="D58" s="158" t="s">
        <v>279</v>
      </c>
      <c r="E58" s="423">
        <v>42</v>
      </c>
      <c r="F58" s="419" t="s">
        <v>265</v>
      </c>
      <c r="G58" s="419" t="s">
        <v>241</v>
      </c>
      <c r="H58" s="419" t="s">
        <v>244</v>
      </c>
      <c r="I58" s="419" t="s">
        <v>242</v>
      </c>
      <c r="J58" s="419"/>
      <c r="K58" s="154" t="str">
        <f>IF(ISBLANK(E58),"ručně doplnit",IF(E58="-","není ve výkazech",IF(C58="Rozvaha",VLOOKUP(E58,'radky_R'!$A:$B,2,0),IF(C58="Výsledovka",VLOOKUP(E58,'radky_V'!A:M,2,0)))))</f>
        <v>Výrobky</v>
      </c>
      <c r="R58" s="154" t="str">
        <f>IF(ISBLANK(L58),"není alternativa",IF(L58="-","není ve výkazech",VLOOKUP(L58,'radky_R'!$A:$B,2,0)))</f>
        <v>není alternativa</v>
      </c>
      <c r="S58" s="157" t="s">
        <v>255</v>
      </c>
      <c r="T58" s="157" t="s">
        <v>878</v>
      </c>
    </row>
    <row r="59" spans="1:20" x14ac:dyDescent="0.3">
      <c r="A59" s="275">
        <v>124</v>
      </c>
      <c r="B59" s="157" t="s">
        <v>38</v>
      </c>
      <c r="C59" s="157" t="s">
        <v>351</v>
      </c>
      <c r="D59" s="158" t="s">
        <v>279</v>
      </c>
      <c r="E59" s="423">
        <v>44</v>
      </c>
      <c r="F59" s="419" t="s">
        <v>265</v>
      </c>
      <c r="G59" s="419" t="s">
        <v>241</v>
      </c>
      <c r="H59" s="419" t="s">
        <v>245</v>
      </c>
      <c r="I59" s="419"/>
      <c r="J59" s="419"/>
      <c r="K59" s="154" t="str">
        <f>IF(ISBLANK(E59),"ručně doplnit",IF(E59="-","není ve výkazech",IF(C59="Rozvaha",VLOOKUP(E59,'radky_R'!$A:$B,2,0),IF(C59="Výsledovka",VLOOKUP(E59,'radky_V'!A:M,2,0)))))</f>
        <v>Mladá a ostatní zvířata a jejich skupiny</v>
      </c>
      <c r="R59" s="154" t="str">
        <f>IF(ISBLANK(L59),"není alternativa",IF(L59="-","není ve výkazech",VLOOKUP(L59,'radky_R'!$A:$B,2,0)))</f>
        <v>není alternativa</v>
      </c>
      <c r="S59" s="157" t="s">
        <v>255</v>
      </c>
      <c r="T59" s="157" t="s">
        <v>878</v>
      </c>
    </row>
    <row r="60" spans="1:20" x14ac:dyDescent="0.3">
      <c r="A60" s="275">
        <v>131</v>
      </c>
      <c r="B60" s="157" t="s">
        <v>39</v>
      </c>
      <c r="C60" s="157" t="s">
        <v>351</v>
      </c>
      <c r="D60" s="158" t="s">
        <v>279</v>
      </c>
      <c r="E60" s="423">
        <v>43</v>
      </c>
      <c r="F60" s="419" t="s">
        <v>265</v>
      </c>
      <c r="G60" s="419" t="s">
        <v>241</v>
      </c>
      <c r="H60" s="419" t="s">
        <v>244</v>
      </c>
      <c r="I60" s="419" t="s">
        <v>243</v>
      </c>
      <c r="J60" s="419"/>
      <c r="K60" s="154" t="str">
        <f>IF(ISBLANK(E60),"ručně doplnit",IF(E60="-","není ve výkazech",IF(C60="Rozvaha",VLOOKUP(E60,'radky_R'!$A:$B,2,0),IF(C60="Výsledovka",VLOOKUP(E60,'radky_V'!A:M,2,0)))))</f>
        <v>Zboží</v>
      </c>
      <c r="R60" s="154" t="str">
        <f>IF(ISBLANK(L60),"není alternativa",IF(L60="-","není ve výkazech",VLOOKUP(L60,'radky_R'!$A:$B,2,0)))</f>
        <v>není alternativa</v>
      </c>
      <c r="S60" s="157" t="s">
        <v>255</v>
      </c>
      <c r="T60" s="157" t="s">
        <v>878</v>
      </c>
    </row>
    <row r="61" spans="1:20" x14ac:dyDescent="0.3">
      <c r="A61" s="275">
        <v>132</v>
      </c>
      <c r="B61" s="157" t="s">
        <v>40</v>
      </c>
      <c r="C61" s="157" t="s">
        <v>351</v>
      </c>
      <c r="D61" s="158" t="s">
        <v>279</v>
      </c>
      <c r="E61" s="423">
        <v>43</v>
      </c>
      <c r="F61" s="419" t="s">
        <v>265</v>
      </c>
      <c r="G61" s="419" t="s">
        <v>241</v>
      </c>
      <c r="H61" s="419" t="s">
        <v>244</v>
      </c>
      <c r="I61" s="419" t="s">
        <v>243</v>
      </c>
      <c r="J61" s="419"/>
      <c r="K61" s="154" t="str">
        <f>IF(ISBLANK(E61),"ručně doplnit",IF(E61="-","není ve výkazech",IF(C61="Rozvaha",VLOOKUP(E61,'radky_R'!$A:$B,2,0),IF(C61="Výsledovka",VLOOKUP(E61,'radky_V'!A:M,2,0)))))</f>
        <v>Zboží</v>
      </c>
      <c r="R61" s="154" t="str">
        <f>IF(ISBLANK(L61),"není alternativa",IF(L61="-","není ve výkazech",VLOOKUP(L61,'radky_R'!$A:$B,2,0)))</f>
        <v>není alternativa</v>
      </c>
      <c r="S61" s="157" t="s">
        <v>255</v>
      </c>
      <c r="T61" s="157" t="s">
        <v>878</v>
      </c>
    </row>
    <row r="62" spans="1:20" x14ac:dyDescent="0.3">
      <c r="A62" s="275">
        <v>139</v>
      </c>
      <c r="B62" s="157" t="s">
        <v>41</v>
      </c>
      <c r="C62" s="157" t="s">
        <v>351</v>
      </c>
      <c r="D62" s="158" t="s">
        <v>279</v>
      </c>
      <c r="E62" s="423">
        <v>43</v>
      </c>
      <c r="F62" s="419" t="s">
        <v>265</v>
      </c>
      <c r="G62" s="419" t="s">
        <v>241</v>
      </c>
      <c r="H62" s="419" t="s">
        <v>244</v>
      </c>
      <c r="I62" s="419" t="s">
        <v>243</v>
      </c>
      <c r="J62" s="419"/>
      <c r="K62" s="154" t="str">
        <f>IF(ISBLANK(E62),"ručně doplnit",IF(E62="-","není ve výkazech",IF(C62="Rozvaha",VLOOKUP(E62,'radky_R'!$A:$B,2,0),IF(C62="Výsledovka",VLOOKUP(E62,'radky_V'!A:M,2,0)))))</f>
        <v>Zboží</v>
      </c>
      <c r="R62" s="154" t="str">
        <f>IF(ISBLANK(L62),"není alternativa",IF(L62="-","není ve výkazech",VLOOKUP(L62,'radky_R'!$A:$B,2,0)))</f>
        <v>není alternativa</v>
      </c>
      <c r="S62" s="157" t="s">
        <v>255</v>
      </c>
      <c r="T62" s="157" t="s">
        <v>878</v>
      </c>
    </row>
    <row r="63" spans="1:20" x14ac:dyDescent="0.3">
      <c r="A63" s="275">
        <v>151</v>
      </c>
      <c r="B63" s="157" t="s">
        <v>42</v>
      </c>
      <c r="C63" s="157" t="s">
        <v>351</v>
      </c>
      <c r="D63" s="158" t="s">
        <v>279</v>
      </c>
      <c r="E63" s="423">
        <v>45</v>
      </c>
      <c r="F63" s="419" t="s">
        <v>265</v>
      </c>
      <c r="G63" s="419" t="s">
        <v>241</v>
      </c>
      <c r="H63" s="419" t="s">
        <v>246</v>
      </c>
      <c r="I63" s="419"/>
      <c r="J63" s="419"/>
      <c r="K63" s="154" t="str">
        <f>IF(ISBLANK(E63),"ručně doplnit",IF(E63="-","není ve výkazech",IF(C63="Rozvaha",VLOOKUP(E63,'radky_R'!$A:$B,2,0),IF(C63="Výsledovka",VLOOKUP(E63,'radky_V'!A:M,2,0)))))</f>
        <v>Poskytnuté zálohy na zásoby</v>
      </c>
      <c r="R63" s="154" t="str">
        <f>IF(ISBLANK(L63),"není alternativa",IF(L63="-","není ve výkazech",VLOOKUP(L63,'radky_R'!$A:$B,2,0)))</f>
        <v>není alternativa</v>
      </c>
      <c r="S63" s="157" t="s">
        <v>255</v>
      </c>
      <c r="T63" s="157" t="s">
        <v>878</v>
      </c>
    </row>
    <row r="64" spans="1:20" x14ac:dyDescent="0.3">
      <c r="A64" s="275">
        <v>152</v>
      </c>
      <c r="B64" s="157" t="s">
        <v>43</v>
      </c>
      <c r="C64" s="157" t="s">
        <v>351</v>
      </c>
      <c r="D64" s="158" t="s">
        <v>279</v>
      </c>
      <c r="E64" s="423">
        <v>45</v>
      </c>
      <c r="F64" s="419" t="s">
        <v>265</v>
      </c>
      <c r="G64" s="419" t="s">
        <v>241</v>
      </c>
      <c r="H64" s="419" t="s">
        <v>246</v>
      </c>
      <c r="I64" s="419"/>
      <c r="J64" s="419"/>
      <c r="K64" s="154" t="str">
        <f>IF(ISBLANK(E64),"ručně doplnit",IF(E64="-","není ve výkazech",IF(C64="Rozvaha",VLOOKUP(E64,'radky_R'!$A:$B,2,0),IF(C64="Výsledovka",VLOOKUP(E64,'radky_V'!A:M,2,0)))))</f>
        <v>Poskytnuté zálohy na zásoby</v>
      </c>
      <c r="R64" s="154" t="str">
        <f>IF(ISBLANK(L64),"není alternativa",IF(L64="-","není ve výkazech",VLOOKUP(L64,'radky_R'!$A:$B,2,0)))</f>
        <v>není alternativa</v>
      </c>
      <c r="S64" s="157" t="s">
        <v>255</v>
      </c>
      <c r="T64" s="157" t="s">
        <v>878</v>
      </c>
    </row>
    <row r="65" spans="1:20" x14ac:dyDescent="0.3">
      <c r="A65" s="275">
        <v>153</v>
      </c>
      <c r="B65" s="157" t="s">
        <v>44</v>
      </c>
      <c r="C65" s="157" t="s">
        <v>351</v>
      </c>
      <c r="D65" s="158" t="s">
        <v>279</v>
      </c>
      <c r="E65" s="423">
        <v>45</v>
      </c>
      <c r="F65" s="419" t="s">
        <v>265</v>
      </c>
      <c r="G65" s="419" t="s">
        <v>241</v>
      </c>
      <c r="H65" s="419" t="s">
        <v>246</v>
      </c>
      <c r="I65" s="419"/>
      <c r="J65" s="419"/>
      <c r="K65" s="154" t="str">
        <f>IF(ISBLANK(E65),"ručně doplnit",IF(E65="-","není ve výkazech",IF(C65="Rozvaha",VLOOKUP(E65,'radky_R'!$A:$B,2,0),IF(C65="Výsledovka",VLOOKUP(E65,'radky_V'!A:M,2,0)))))</f>
        <v>Poskytnuté zálohy na zásoby</v>
      </c>
      <c r="R65" s="154" t="str">
        <f>IF(ISBLANK(L65),"není alternativa",IF(L65="-","není ve výkazech",VLOOKUP(L65,'radky_R'!$A:$B,2,0)))</f>
        <v>není alternativa</v>
      </c>
      <c r="S65" s="157" t="s">
        <v>255</v>
      </c>
      <c r="T65" s="157" t="s">
        <v>878</v>
      </c>
    </row>
    <row r="66" spans="1:20" x14ac:dyDescent="0.3">
      <c r="A66" s="275">
        <v>191</v>
      </c>
      <c r="B66" s="157" t="s">
        <v>45</v>
      </c>
      <c r="C66" s="157" t="s">
        <v>351</v>
      </c>
      <c r="D66" s="158" t="s">
        <v>279</v>
      </c>
      <c r="E66" s="423">
        <v>39</v>
      </c>
      <c r="F66" s="419" t="s">
        <v>265</v>
      </c>
      <c r="G66" s="419" t="s">
        <v>241</v>
      </c>
      <c r="H66" s="419" t="s">
        <v>242</v>
      </c>
      <c r="I66" s="419"/>
      <c r="J66" s="419"/>
      <c r="K66" s="154" t="str">
        <f>IF(ISBLANK(E66),"ručně doplnit",IF(E66="-","není ve výkazech",IF(C66="Rozvaha",VLOOKUP(E66,'radky_R'!$A:$B,2,0),IF(C66="Výsledovka",VLOOKUP(E66,'radky_V'!A:M,2,0)))))</f>
        <v>Materiál</v>
      </c>
      <c r="R66" s="154" t="str">
        <f>IF(ISBLANK(L66),"není alternativa",IF(L66="-","není ve výkazech",VLOOKUP(L66,'radky_R'!$A:$B,2,0)))</f>
        <v>není alternativa</v>
      </c>
      <c r="S66" s="157" t="s">
        <v>257</v>
      </c>
      <c r="T66" s="157" t="s">
        <v>878</v>
      </c>
    </row>
    <row r="67" spans="1:20" x14ac:dyDescent="0.3">
      <c r="A67" s="275">
        <v>192</v>
      </c>
      <c r="B67" s="157" t="s">
        <v>46</v>
      </c>
      <c r="C67" s="157" t="s">
        <v>351</v>
      </c>
      <c r="D67" s="158" t="s">
        <v>279</v>
      </c>
      <c r="E67" s="423">
        <v>40</v>
      </c>
      <c r="F67" s="419" t="s">
        <v>265</v>
      </c>
      <c r="G67" s="419" t="s">
        <v>241</v>
      </c>
      <c r="H67" s="419" t="s">
        <v>243</v>
      </c>
      <c r="I67" s="419"/>
      <c r="J67" s="419"/>
      <c r="K67" s="154" t="str">
        <f>IF(ISBLANK(E67),"ručně doplnit",IF(E67="-","není ve výkazech",IF(C67="Rozvaha",VLOOKUP(E67,'radky_R'!$A:$B,2,0),IF(C67="Výsledovka",VLOOKUP(E67,'radky_V'!A:M,2,0)))))</f>
        <v>Nedokončená výroba a polotovary</v>
      </c>
      <c r="R67" s="154" t="str">
        <f>IF(ISBLANK(L67),"není alternativa",IF(L67="-","není ve výkazech",VLOOKUP(L67,'radky_R'!$A:$B,2,0)))</f>
        <v>není alternativa</v>
      </c>
      <c r="S67" s="157" t="s">
        <v>257</v>
      </c>
      <c r="T67" s="157" t="s">
        <v>878</v>
      </c>
    </row>
    <row r="68" spans="1:20" x14ac:dyDescent="0.3">
      <c r="A68" s="275">
        <v>193</v>
      </c>
      <c r="B68" s="157" t="s">
        <v>47</v>
      </c>
      <c r="C68" s="157" t="s">
        <v>351</v>
      </c>
      <c r="D68" s="158" t="s">
        <v>279</v>
      </c>
      <c r="E68" s="423">
        <v>40</v>
      </c>
      <c r="F68" s="419" t="s">
        <v>265</v>
      </c>
      <c r="G68" s="419" t="s">
        <v>241</v>
      </c>
      <c r="H68" s="419" t="s">
        <v>243</v>
      </c>
      <c r="I68" s="419"/>
      <c r="J68" s="419"/>
      <c r="K68" s="154" t="str">
        <f>IF(ISBLANK(E68),"ručně doplnit",IF(E68="-","není ve výkazech",IF(C68="Rozvaha",VLOOKUP(E68,'radky_R'!$A:$B,2,0),IF(C68="Výsledovka",VLOOKUP(E68,'radky_V'!A:M,2,0)))))</f>
        <v>Nedokončená výroba a polotovary</v>
      </c>
      <c r="R68" s="154" t="str">
        <f>IF(ISBLANK(L68),"není alternativa",IF(L68="-","není ve výkazech",VLOOKUP(L68,'radky_R'!$A:$B,2,0)))</f>
        <v>není alternativa</v>
      </c>
      <c r="S68" s="157" t="s">
        <v>257</v>
      </c>
      <c r="T68" s="157" t="s">
        <v>878</v>
      </c>
    </row>
    <row r="69" spans="1:20" x14ac:dyDescent="0.3">
      <c r="A69" s="275">
        <v>194</v>
      </c>
      <c r="B69" s="157" t="s">
        <v>48</v>
      </c>
      <c r="C69" s="157" t="s">
        <v>351</v>
      </c>
      <c r="D69" s="158" t="s">
        <v>279</v>
      </c>
      <c r="E69" s="423">
        <v>42</v>
      </c>
      <c r="F69" s="419" t="s">
        <v>265</v>
      </c>
      <c r="G69" s="419" t="s">
        <v>241</v>
      </c>
      <c r="H69" s="419" t="s">
        <v>244</v>
      </c>
      <c r="I69" s="419" t="s">
        <v>242</v>
      </c>
      <c r="J69" s="419"/>
      <c r="K69" s="154" t="str">
        <f>IF(ISBLANK(E69),"ručně doplnit",IF(E69="-","není ve výkazech",IF(C69="Rozvaha",VLOOKUP(E69,'radky_R'!$A:$B,2,0),IF(C69="Výsledovka",VLOOKUP(E69,'radky_V'!A:M,2,0)))))</f>
        <v>Výrobky</v>
      </c>
      <c r="R69" s="154" t="str">
        <f>IF(ISBLANK(L69),"není alternativa",IF(L69="-","není ve výkazech",VLOOKUP(L69,'radky_R'!$A:$B,2,0)))</f>
        <v>není alternativa</v>
      </c>
      <c r="S69" s="157" t="s">
        <v>257</v>
      </c>
      <c r="T69" s="157" t="s">
        <v>878</v>
      </c>
    </row>
    <row r="70" spans="1:20" x14ac:dyDescent="0.3">
      <c r="A70" s="275">
        <v>195</v>
      </c>
      <c r="B70" s="157" t="s">
        <v>49</v>
      </c>
      <c r="C70" s="157" t="s">
        <v>351</v>
      </c>
      <c r="D70" s="158" t="s">
        <v>279</v>
      </c>
      <c r="E70" s="423">
        <v>44</v>
      </c>
      <c r="F70" s="419" t="s">
        <v>265</v>
      </c>
      <c r="G70" s="419" t="s">
        <v>241</v>
      </c>
      <c r="H70" s="419" t="s">
        <v>245</v>
      </c>
      <c r="I70" s="419"/>
      <c r="J70" s="419"/>
      <c r="K70" s="154" t="str">
        <f>IF(ISBLANK(E70),"ručně doplnit",IF(E70="-","není ve výkazech",IF(C70="Rozvaha",VLOOKUP(E70,'radky_R'!$A:$B,2,0),IF(C70="Výsledovka",VLOOKUP(E70,'radky_V'!A:M,2,0)))))</f>
        <v>Mladá a ostatní zvířata a jejich skupiny</v>
      </c>
      <c r="R70" s="154" t="str">
        <f>IF(ISBLANK(L70),"není alternativa",IF(L70="-","není ve výkazech",VLOOKUP(L70,'radky_R'!$A:$B,2,0)))</f>
        <v>není alternativa</v>
      </c>
      <c r="S70" s="157" t="s">
        <v>257</v>
      </c>
      <c r="T70" s="157" t="s">
        <v>878</v>
      </c>
    </row>
    <row r="71" spans="1:20" x14ac:dyDescent="0.3">
      <c r="A71" s="275">
        <v>196</v>
      </c>
      <c r="B71" s="157" t="s">
        <v>50</v>
      </c>
      <c r="C71" s="157" t="s">
        <v>351</v>
      </c>
      <c r="D71" s="158" t="s">
        <v>279</v>
      </c>
      <c r="E71" s="423">
        <v>43</v>
      </c>
      <c r="F71" s="419" t="s">
        <v>265</v>
      </c>
      <c r="G71" s="419" t="s">
        <v>241</v>
      </c>
      <c r="H71" s="419" t="s">
        <v>244</v>
      </c>
      <c r="I71" s="419" t="s">
        <v>243</v>
      </c>
      <c r="J71" s="419"/>
      <c r="K71" s="154" t="str">
        <f>IF(ISBLANK(E71),"ručně doplnit",IF(E71="-","není ve výkazech",IF(C71="Rozvaha",VLOOKUP(E71,'radky_R'!$A:$B,2,0),IF(C71="Výsledovka",VLOOKUP(E71,'radky_V'!A:M,2,0)))))</f>
        <v>Zboží</v>
      </c>
      <c r="R71" s="154" t="str">
        <f>IF(ISBLANK(L71),"není alternativa",IF(L71="-","není ve výkazech",VLOOKUP(L71,'radky_R'!$A:$B,2,0)))</f>
        <v>není alternativa</v>
      </c>
      <c r="S71" s="157" t="s">
        <v>257</v>
      </c>
      <c r="T71" s="157" t="s">
        <v>878</v>
      </c>
    </row>
    <row r="72" spans="1:20" x14ac:dyDescent="0.3">
      <c r="A72" s="275">
        <v>197</v>
      </c>
      <c r="B72" s="157" t="s">
        <v>51</v>
      </c>
      <c r="C72" s="157" t="s">
        <v>351</v>
      </c>
      <c r="D72" s="158" t="s">
        <v>279</v>
      </c>
      <c r="E72" s="423">
        <v>45</v>
      </c>
      <c r="F72" s="419" t="s">
        <v>265</v>
      </c>
      <c r="G72" s="419" t="s">
        <v>241</v>
      </c>
      <c r="H72" s="419" t="s">
        <v>246</v>
      </c>
      <c r="I72" s="419"/>
      <c r="J72" s="419"/>
      <c r="K72" s="154" t="str">
        <f>IF(ISBLANK(E72),"ručně doplnit",IF(E72="-","není ve výkazech",IF(C72="Rozvaha",VLOOKUP(E72,'radky_R'!$A:$B,2,0),IF(C72="Výsledovka",VLOOKUP(E72,'radky_V'!A:M,2,0)))))</f>
        <v>Poskytnuté zálohy na zásoby</v>
      </c>
      <c r="R72" s="154" t="str">
        <f>IF(ISBLANK(L72),"není alternativa",IF(L72="-","není ve výkazech",VLOOKUP(L72,'radky_R'!$A:$B,2,0)))</f>
        <v>není alternativa</v>
      </c>
      <c r="S72" s="157" t="s">
        <v>257</v>
      </c>
      <c r="T72" s="157" t="s">
        <v>878</v>
      </c>
    </row>
    <row r="73" spans="1:20" x14ac:dyDescent="0.3">
      <c r="A73" s="275">
        <v>198</v>
      </c>
      <c r="B73" s="157" t="s">
        <v>52</v>
      </c>
      <c r="C73" s="157" t="s">
        <v>351</v>
      </c>
      <c r="D73" s="158" t="s">
        <v>279</v>
      </c>
      <c r="E73" s="423">
        <v>45</v>
      </c>
      <c r="F73" s="419" t="s">
        <v>265</v>
      </c>
      <c r="G73" s="419" t="s">
        <v>241</v>
      </c>
      <c r="H73" s="419" t="s">
        <v>246</v>
      </c>
      <c r="I73" s="419"/>
      <c r="J73" s="419"/>
      <c r="K73" s="154" t="str">
        <f>IF(ISBLANK(E73),"ručně doplnit",IF(E73="-","není ve výkazech",IF(C73="Rozvaha",VLOOKUP(E73,'radky_R'!$A:$B,2,0),IF(C73="Výsledovka",VLOOKUP(E73,'radky_V'!A:M,2,0)))))</f>
        <v>Poskytnuté zálohy na zásoby</v>
      </c>
      <c r="R73" s="154" t="str">
        <f>IF(ISBLANK(L73),"není alternativa",IF(L73="-","není ve výkazech",VLOOKUP(L73,'radky_R'!$A:$B,2,0)))</f>
        <v>není alternativa</v>
      </c>
      <c r="S73" s="157" t="s">
        <v>257</v>
      </c>
      <c r="T73" s="157" t="s">
        <v>878</v>
      </c>
    </row>
    <row r="74" spans="1:20" x14ac:dyDescent="0.3">
      <c r="A74" s="275">
        <v>199</v>
      </c>
      <c r="B74" s="157" t="s">
        <v>53</v>
      </c>
      <c r="C74" s="157" t="s">
        <v>351</v>
      </c>
      <c r="D74" s="158" t="s">
        <v>279</v>
      </c>
      <c r="E74" s="423">
        <v>45</v>
      </c>
      <c r="F74" s="419" t="s">
        <v>265</v>
      </c>
      <c r="G74" s="419" t="s">
        <v>241</v>
      </c>
      <c r="H74" s="419" t="s">
        <v>246</v>
      </c>
      <c r="I74" s="419"/>
      <c r="J74" s="419"/>
      <c r="K74" s="154" t="str">
        <f>IF(ISBLANK(E74),"ručně doplnit",IF(E74="-","není ve výkazech",IF(C74="Rozvaha",VLOOKUP(E74,'radky_R'!$A:$B,2,0),IF(C74="Výsledovka",VLOOKUP(E74,'radky_V'!A:M,2,0)))))</f>
        <v>Poskytnuté zálohy na zásoby</v>
      </c>
      <c r="R74" s="154" t="str">
        <f>IF(ISBLANK(L74),"není alternativa",IF(L74="-","není ve výkazech",VLOOKUP(L74,'radky_R'!$A:$B,2,0)))</f>
        <v>není alternativa</v>
      </c>
      <c r="S74" s="157" t="s">
        <v>257</v>
      </c>
      <c r="T74" s="157" t="s">
        <v>878</v>
      </c>
    </row>
    <row r="75" spans="1:20" x14ac:dyDescent="0.3">
      <c r="A75" s="275">
        <v>211</v>
      </c>
      <c r="B75" s="157" t="s">
        <v>55</v>
      </c>
      <c r="C75" s="157" t="s">
        <v>351</v>
      </c>
      <c r="D75" s="158" t="s">
        <v>279</v>
      </c>
      <c r="E75" s="423">
        <v>72</v>
      </c>
      <c r="F75" s="419" t="s">
        <v>265</v>
      </c>
      <c r="G75" s="419" t="s">
        <v>273</v>
      </c>
      <c r="H75" s="419" t="s">
        <v>242</v>
      </c>
      <c r="I75" s="419"/>
      <c r="J75" s="419"/>
      <c r="K75" s="154" t="str">
        <f>IF(ISBLANK(E75),"ručně doplnit",IF(E75="-","není ve výkazech",IF(C75="Rozvaha",VLOOKUP(E75,'radky_R'!$A:$B,2,0),IF(C75="Výsledovka",VLOOKUP(E75,'radky_V'!A:M,2,0)))))</f>
        <v>Peněžní prostředky v pokladně</v>
      </c>
      <c r="R75" s="154" t="str">
        <f>IF(ISBLANK(L75),"není alternativa",IF(L75="-","není ve výkazech",VLOOKUP(L75,'radky_R'!$A:$B,2,0)))</f>
        <v>není alternativa</v>
      </c>
      <c r="S75" s="157" t="s">
        <v>255</v>
      </c>
      <c r="T75" s="157" t="s">
        <v>877</v>
      </c>
    </row>
    <row r="76" spans="1:20" x14ac:dyDescent="0.3">
      <c r="A76" s="275">
        <v>213</v>
      </c>
      <c r="B76" s="157" t="s">
        <v>56</v>
      </c>
      <c r="C76" s="157" t="s">
        <v>351</v>
      </c>
      <c r="D76" s="158" t="s">
        <v>279</v>
      </c>
      <c r="E76" s="423">
        <v>72</v>
      </c>
      <c r="F76" s="419" t="s">
        <v>265</v>
      </c>
      <c r="G76" s="419" t="s">
        <v>273</v>
      </c>
      <c r="H76" s="419" t="s">
        <v>242</v>
      </c>
      <c r="I76" s="419"/>
      <c r="J76" s="419"/>
      <c r="K76" s="154" t="str">
        <f>IF(ISBLANK(E76),"ručně doplnit",IF(E76="-","není ve výkazech",IF(C76="Rozvaha",VLOOKUP(E76,'radky_R'!$A:$B,2,0),IF(C76="Výsledovka",VLOOKUP(E76,'radky_V'!A:M,2,0)))))</f>
        <v>Peněžní prostředky v pokladně</v>
      </c>
      <c r="R76" s="154" t="str">
        <f>IF(ISBLANK(L76),"není alternativa",IF(L76="-","není ve výkazech",VLOOKUP(L76,'radky_R'!$A:$B,2,0)))</f>
        <v>není alternativa</v>
      </c>
      <c r="S76" s="157" t="s">
        <v>255</v>
      </c>
      <c r="T76" s="157" t="s">
        <v>877</v>
      </c>
    </row>
    <row r="77" spans="1:20" x14ac:dyDescent="0.3">
      <c r="A77" s="275">
        <v>221</v>
      </c>
      <c r="B77" s="157" t="s">
        <v>57</v>
      </c>
      <c r="C77" s="157" t="s">
        <v>351</v>
      </c>
      <c r="D77" s="420" t="s">
        <v>317</v>
      </c>
      <c r="E77" s="423">
        <v>73</v>
      </c>
      <c r="F77" s="419" t="s">
        <v>265</v>
      </c>
      <c r="G77" s="419" t="s">
        <v>273</v>
      </c>
      <c r="H77" s="419" t="s">
        <v>243</v>
      </c>
      <c r="I77" s="419"/>
      <c r="J77" s="419"/>
      <c r="K77" s="154" t="str">
        <f>IF(ISBLANK(E77),"ručně doplnit",IF(E77="-","není ve výkazech",IF(C77="Rozvaha",VLOOKUP(E77,'radky_R'!$A:$B,2,0),IF(C77="Výsledovka",VLOOKUP(E77,'radky_V'!A:M,2,0)))))</f>
        <v>Peněžní prostředky na účtech</v>
      </c>
      <c r="L77" s="422">
        <v>126</v>
      </c>
      <c r="M77" s="420" t="s">
        <v>265</v>
      </c>
      <c r="N77" s="420" t="s">
        <v>251</v>
      </c>
      <c r="O77" s="420" t="s">
        <v>243</v>
      </c>
      <c r="P77" s="420"/>
      <c r="Q77" s="420"/>
      <c r="R77" s="154" t="s">
        <v>963</v>
      </c>
      <c r="S77" s="157" t="s">
        <v>255</v>
      </c>
      <c r="T77" s="157" t="s">
        <v>877</v>
      </c>
    </row>
    <row r="78" spans="1:20" x14ac:dyDescent="0.3">
      <c r="A78" s="275">
        <v>231</v>
      </c>
      <c r="B78" s="157" t="s">
        <v>1019</v>
      </c>
      <c r="C78" s="157" t="s">
        <v>351</v>
      </c>
      <c r="D78" s="158" t="s">
        <v>291</v>
      </c>
      <c r="E78" s="423">
        <v>126</v>
      </c>
      <c r="F78" s="419" t="s">
        <v>265</v>
      </c>
      <c r="G78" s="419" t="s">
        <v>251</v>
      </c>
      <c r="H78" s="419" t="s">
        <v>243</v>
      </c>
      <c r="I78" s="419"/>
      <c r="J78" s="419"/>
      <c r="K78" s="154" t="str">
        <f>IF(ISBLANK(E78),"ručně doplnit",IF(E78="-","není ve výkazech",IF(C78="Rozvaha",VLOOKUP(E78,'radky_R'!$A:$B,2,0),IF(C78="Výsledovka",VLOOKUP(E78,'radky_V'!A:M,2,0)))))</f>
        <v>Závazky k úvěrovým institucím</v>
      </c>
      <c r="R78" s="154" t="str">
        <f>IF(ISBLANK(L78),"není alternativa",IF(L78="-","není ve výkazech",VLOOKUP(L78,'radky_R'!$A:$B,2,0)))</f>
        <v>není alternativa</v>
      </c>
      <c r="S78" s="157" t="s">
        <v>255</v>
      </c>
      <c r="T78" s="157" t="s">
        <v>877</v>
      </c>
    </row>
    <row r="79" spans="1:20" x14ac:dyDescent="0.3">
      <c r="A79" s="275">
        <v>232</v>
      </c>
      <c r="B79" s="157" t="s">
        <v>58</v>
      </c>
      <c r="C79" s="157" t="s">
        <v>351</v>
      </c>
      <c r="D79" s="158" t="s">
        <v>291</v>
      </c>
      <c r="E79" s="423">
        <v>126</v>
      </c>
      <c r="F79" s="419" t="s">
        <v>265</v>
      </c>
      <c r="G79" s="419" t="s">
        <v>251</v>
      </c>
      <c r="H79" s="419" t="s">
        <v>243</v>
      </c>
      <c r="I79" s="419"/>
      <c r="J79" s="419"/>
      <c r="K79" s="154" t="str">
        <f>IF(ISBLANK(E79),"ručně doplnit",IF(E79="-","není ve výkazech",IF(C79="Rozvaha",VLOOKUP(E79,'radky_R'!$A:$B,2,0),IF(C79="Výsledovka",VLOOKUP(E79,'radky_V'!A:M,2,0)))))</f>
        <v>Závazky k úvěrovým institucím</v>
      </c>
      <c r="R79" s="154" t="str">
        <f>IF(ISBLANK(L79),"není alternativa",IF(L79="-","není ve výkazech",VLOOKUP(L79,'radky_R'!$A:$B,2,0)))</f>
        <v>není alternativa</v>
      </c>
      <c r="S79" s="157" t="s">
        <v>255</v>
      </c>
      <c r="T79" s="157" t="s">
        <v>877</v>
      </c>
    </row>
    <row r="80" spans="1:20" x14ac:dyDescent="0.3">
      <c r="A80" s="275">
        <v>241</v>
      </c>
      <c r="B80" s="157" t="s">
        <v>59</v>
      </c>
      <c r="C80" s="157" t="s">
        <v>351</v>
      </c>
      <c r="D80" s="158" t="s">
        <v>291</v>
      </c>
      <c r="E80" s="423">
        <v>48</v>
      </c>
      <c r="F80" s="419" t="s">
        <v>265</v>
      </c>
      <c r="G80" s="419" t="s">
        <v>251</v>
      </c>
      <c r="H80" s="419" t="s">
        <v>242</v>
      </c>
      <c r="I80" s="419" t="s">
        <v>242</v>
      </c>
      <c r="J80" s="419"/>
      <c r="K80" s="154" t="str">
        <f>IF(ISBLANK(E80),"ručně doplnit",IF(E80="-","není ve výkazech",IF(C80="Rozvaha",VLOOKUP(E80,'radky_R'!$A:$B,2,0),IF(C80="Výsledovka",VLOOKUP(E80,'radky_V'!A:M,2,0)))))</f>
        <v>Pohledávky z obchodních vztahů</v>
      </c>
      <c r="L80" s="423">
        <v>49</v>
      </c>
      <c r="M80" s="419" t="s">
        <v>265</v>
      </c>
      <c r="N80" s="419" t="s">
        <v>251</v>
      </c>
      <c r="O80" s="419" t="s">
        <v>242</v>
      </c>
      <c r="P80" s="419" t="s">
        <v>243</v>
      </c>
      <c r="Q80" s="419"/>
      <c r="R80" s="154" t="str">
        <f>IF(ISBLANK(L80),"není alternativa",IF(L80="-","není ve výkazech",VLOOKUP(L80,'radky_R'!$A:$B,2,0)))</f>
        <v>Pohledávky - ovládaná nebo ovládající osoba</v>
      </c>
      <c r="S80" s="157" t="s">
        <v>255</v>
      </c>
      <c r="T80" s="157" t="s">
        <v>877</v>
      </c>
    </row>
    <row r="81" spans="1:20" x14ac:dyDescent="0.3">
      <c r="A81" s="275">
        <v>249</v>
      </c>
      <c r="B81" s="157" t="s">
        <v>60</v>
      </c>
      <c r="C81" s="157" t="s">
        <v>351</v>
      </c>
      <c r="D81" s="158" t="s">
        <v>291</v>
      </c>
      <c r="E81" s="423">
        <v>134</v>
      </c>
      <c r="F81" s="419" t="s">
        <v>265</v>
      </c>
      <c r="G81" s="419" t="s">
        <v>251</v>
      </c>
      <c r="H81" s="419" t="s">
        <v>249</v>
      </c>
      <c r="I81" s="419" t="s">
        <v>243</v>
      </c>
      <c r="J81" s="419"/>
      <c r="K81" s="154" t="str">
        <f>IF(ISBLANK(E81),"ručně doplnit",IF(E81="-","není ve výkazech",IF(C81="Rozvaha",VLOOKUP(E81,'radky_R'!$A:$B,2,0),IF(C81="Výsledovka",VLOOKUP(E81,'radky_V'!A:M,2,0)))))</f>
        <v>Krátkodobé finanční výpomoci</v>
      </c>
      <c r="R81" s="154" t="str">
        <f>IF(ISBLANK(L81),"není alternativa",IF(L81="-","není ve výkazech",VLOOKUP(L81,'radky_R'!$A:$B,2,0)))</f>
        <v>není alternativa</v>
      </c>
      <c r="S81" s="157" t="s">
        <v>255</v>
      </c>
      <c r="T81" s="157" t="s">
        <v>877</v>
      </c>
    </row>
    <row r="82" spans="1:20" x14ac:dyDescent="0.3">
      <c r="A82" s="275">
        <v>251</v>
      </c>
      <c r="B82" s="157" t="s">
        <v>61</v>
      </c>
      <c r="C82" s="157" t="s">
        <v>351</v>
      </c>
      <c r="D82" s="158" t="s">
        <v>279</v>
      </c>
      <c r="E82" s="423">
        <v>70</v>
      </c>
      <c r="F82" s="419" t="s">
        <v>265</v>
      </c>
      <c r="G82" s="419" t="s">
        <v>256</v>
      </c>
      <c r="H82" s="419" t="s">
        <v>243</v>
      </c>
      <c r="I82" s="419"/>
      <c r="J82" s="419"/>
      <c r="K82" s="154" t="str">
        <f>IF(ISBLANK(E82),"ručně doplnit",IF(E82="-","není ve výkazech",IF(C82="Rozvaha",VLOOKUP(E82,'radky_R'!$A:$B,2,0),IF(C82="Výsledovka",VLOOKUP(E82,'radky_V'!A:M,2,0)))))</f>
        <v>Ostatní krátkodobý finanční majetek</v>
      </c>
      <c r="R82" s="154" t="str">
        <f>IF(ISBLANK(L82),"není alternativa",IF(L82="-","není ve výkazech",VLOOKUP(L82,'radky_R'!$A:$B,2,0)))</f>
        <v>není alternativa</v>
      </c>
      <c r="S82" s="157" t="s">
        <v>255</v>
      </c>
      <c r="T82" s="157" t="s">
        <v>877</v>
      </c>
    </row>
    <row r="83" spans="1:20" x14ac:dyDescent="0.3">
      <c r="A83" s="275">
        <v>252</v>
      </c>
      <c r="B83" s="157" t="s">
        <v>1020</v>
      </c>
      <c r="C83" s="157" t="s">
        <v>351</v>
      </c>
      <c r="D83" s="158" t="s">
        <v>291</v>
      </c>
      <c r="E83" s="423">
        <v>82</v>
      </c>
      <c r="F83" s="419" t="s">
        <v>239</v>
      </c>
      <c r="G83" s="419" t="s">
        <v>241</v>
      </c>
      <c r="H83" s="419" t="s">
        <v>243</v>
      </c>
      <c r="I83" s="419"/>
      <c r="J83" s="419"/>
      <c r="K83" s="154" t="str">
        <f>IF(ISBLANK(E83),"ručně doplnit",IF(E83="-","není ve výkazech",IF(C83="Rozvaha",VLOOKUP(E83,'radky_R'!$A:$B,2,0),IF(C83="Výsledovka",VLOOKUP(E83,'radky_V'!A:M,2,0)))))</f>
        <v>Vlastní podíly (-)</v>
      </c>
      <c r="R83" s="154" t="str">
        <f>IF(ISBLANK(L83),"není alternativa",IF(L83="-","není ve výkazech",VLOOKUP(L83,'radky_R'!$A:$B,2,0)))</f>
        <v>není alternativa</v>
      </c>
      <c r="S83" s="157" t="s">
        <v>255</v>
      </c>
      <c r="T83" s="157" t="s">
        <v>877</v>
      </c>
    </row>
    <row r="84" spans="1:20" x14ac:dyDescent="0.3">
      <c r="A84" s="275">
        <v>253</v>
      </c>
      <c r="B84" s="157" t="s">
        <v>1021</v>
      </c>
      <c r="C84" s="157" t="s">
        <v>351</v>
      </c>
      <c r="D84" s="158" t="s">
        <v>279</v>
      </c>
      <c r="E84" s="423">
        <v>70</v>
      </c>
      <c r="F84" s="419" t="s">
        <v>265</v>
      </c>
      <c r="G84" s="419" t="s">
        <v>256</v>
      </c>
      <c r="H84" s="419" t="s">
        <v>243</v>
      </c>
      <c r="I84" s="419"/>
      <c r="J84" s="419"/>
      <c r="K84" s="154" t="str">
        <f>IF(ISBLANK(E84),"ručně doplnit",IF(E84="-","není ve výkazech",IF(C84="Rozvaha",VLOOKUP(E84,'radky_R'!$A:$B,2,0),IF(C84="Výsledovka",VLOOKUP(E84,'radky_V'!A:M,2,0)))))</f>
        <v>Ostatní krátkodobý finanční majetek</v>
      </c>
      <c r="R84" s="154" t="str">
        <f>IF(ISBLANK(L84),"není alternativa",IF(L84="-","není ve výkazech",VLOOKUP(L84,'radky_R'!$A:$B,2,0)))</f>
        <v>není alternativa</v>
      </c>
      <c r="S84" s="157" t="s">
        <v>255</v>
      </c>
      <c r="T84" s="157" t="s">
        <v>877</v>
      </c>
    </row>
    <row r="85" spans="1:20" x14ac:dyDescent="0.3">
      <c r="A85" s="275">
        <v>254</v>
      </c>
      <c r="B85" s="157" t="s">
        <v>930</v>
      </c>
      <c r="C85" s="157" t="s">
        <v>351</v>
      </c>
      <c r="D85" s="158" t="s">
        <v>279</v>
      </c>
      <c r="E85" s="423">
        <v>69</v>
      </c>
      <c r="F85" s="419" t="s">
        <v>265</v>
      </c>
      <c r="G85" s="419" t="s">
        <v>256</v>
      </c>
      <c r="H85" s="419" t="s">
        <v>242</v>
      </c>
      <c r="I85" s="419"/>
      <c r="J85" s="419"/>
      <c r="K85" s="154" t="str">
        <f>IF(ISBLANK(E85),"ručně doplnit",IF(E85="-","není ve výkazech",IF(C85="Rozvaha",VLOOKUP(E85,'radky_R'!$A:$B,2,0),IF(C85="Výsledovka",VLOOKUP(E85,'radky_V'!A:M,2,0)))))</f>
        <v>Podíly - ovládaná nebo ovládající osoba</v>
      </c>
      <c r="R85" s="154" t="str">
        <f>IF(ISBLANK(L85),"není alternativa",IF(L85="-","není ve výkazech",VLOOKUP(L85,'radky_R'!$A:$B,2,0)))</f>
        <v>není alternativa</v>
      </c>
      <c r="S85" s="157" t="s">
        <v>255</v>
      </c>
      <c r="T85" s="157" t="s">
        <v>877</v>
      </c>
    </row>
    <row r="86" spans="1:20" x14ac:dyDescent="0.3">
      <c r="A86" s="275">
        <v>255</v>
      </c>
      <c r="B86" s="157" t="s">
        <v>62</v>
      </c>
      <c r="C86" s="157" t="s">
        <v>351</v>
      </c>
      <c r="D86" s="158" t="s">
        <v>291</v>
      </c>
      <c r="E86" s="422"/>
      <c r="F86" s="420"/>
      <c r="G86" s="420"/>
      <c r="H86" s="420"/>
      <c r="I86" s="420"/>
      <c r="J86" s="420"/>
      <c r="K86" s="154" t="str">
        <f>IF(ISBLANK(E86),"ručně doplnit",IF(E86="-","není ve výkazech",IF(C86="Rozvaha",VLOOKUP(E86,'radky_R'!$A:$B,2,0),IF(C86="Výsledovka",VLOOKUP(E86,'radky_V'!A:M,2,0)))))</f>
        <v>ručně doplnit</v>
      </c>
      <c r="R86" s="154" t="str">
        <f>IF(ISBLANK(L86),"není alternativa",IF(L86="-","není ve výkazech",VLOOKUP(L86,'radky_R'!$A:$B,2,0)))</f>
        <v>není alternativa</v>
      </c>
      <c r="S86" s="157" t="s">
        <v>255</v>
      </c>
      <c r="T86" s="157" t="s">
        <v>877</v>
      </c>
    </row>
    <row r="87" spans="1:20" x14ac:dyDescent="0.3">
      <c r="A87" s="275">
        <v>256</v>
      </c>
      <c r="B87" s="157" t="s">
        <v>63</v>
      </c>
      <c r="C87" s="157" t="s">
        <v>351</v>
      </c>
      <c r="D87" s="158" t="s">
        <v>279</v>
      </c>
      <c r="E87" s="423">
        <v>70</v>
      </c>
      <c r="F87" s="419" t="s">
        <v>265</v>
      </c>
      <c r="G87" s="419" t="s">
        <v>256</v>
      </c>
      <c r="H87" s="419" t="s">
        <v>243</v>
      </c>
      <c r="I87" s="419"/>
      <c r="J87" s="419"/>
      <c r="K87" s="154" t="str">
        <f>IF(ISBLANK(E87),"ručně doplnit",IF(E87="-","není ve výkazech",IF(C87="Rozvaha",VLOOKUP(E87,'radky_R'!$A:$B,2,0),IF(C87="Výsledovka",VLOOKUP(E87,'radky_V'!A:M,2,0)))))</f>
        <v>Ostatní krátkodobý finanční majetek</v>
      </c>
      <c r="R87" s="154" t="str">
        <f>IF(ISBLANK(L87),"není alternativa",IF(L87="-","není ve výkazech",VLOOKUP(L87,'radky_R'!$A:$B,2,0)))</f>
        <v>není alternativa</v>
      </c>
      <c r="S87" s="157" t="s">
        <v>255</v>
      </c>
      <c r="T87" s="157" t="s">
        <v>877</v>
      </c>
    </row>
    <row r="88" spans="1:20" x14ac:dyDescent="0.3">
      <c r="A88" s="275">
        <v>257</v>
      </c>
      <c r="B88" s="157" t="s">
        <v>1022</v>
      </c>
      <c r="C88" s="157" t="s">
        <v>351</v>
      </c>
      <c r="D88" s="158" t="s">
        <v>279</v>
      </c>
      <c r="E88" s="423">
        <v>70</v>
      </c>
      <c r="F88" s="419" t="s">
        <v>265</v>
      </c>
      <c r="G88" s="419" t="s">
        <v>256</v>
      </c>
      <c r="H88" s="419" t="s">
        <v>243</v>
      </c>
      <c r="I88" s="419"/>
      <c r="J88" s="419"/>
      <c r="K88" s="154" t="str">
        <f>IF(ISBLANK(E88),"ručně doplnit",IF(E88="-","není ve výkazech",IF(C88="Rozvaha",VLOOKUP(E88,'radky_R'!$A:$B,2,0),IF(C88="Výsledovka",VLOOKUP(E88,'radky_V'!A:M,2,0)))))</f>
        <v>Ostatní krátkodobý finanční majetek</v>
      </c>
      <c r="R88" s="154" t="str">
        <f>IF(ISBLANK(L88),"není alternativa",IF(L88="-","není ve výkazech",VLOOKUP(L88,'radky_R'!$A:$B,2,0)))</f>
        <v>není alternativa</v>
      </c>
      <c r="S88" s="157" t="s">
        <v>255</v>
      </c>
      <c r="T88" s="157" t="s">
        <v>877</v>
      </c>
    </row>
    <row r="89" spans="1:20" x14ac:dyDescent="0.3">
      <c r="A89" s="275">
        <v>258</v>
      </c>
      <c r="B89" s="157" t="s">
        <v>64</v>
      </c>
      <c r="C89" s="157" t="s">
        <v>351</v>
      </c>
      <c r="D89" s="158" t="s">
        <v>279</v>
      </c>
      <c r="E89" s="275" t="s">
        <v>262</v>
      </c>
      <c r="K89" s="154" t="str">
        <f>IF(ISBLANK(E89),"ručně doplnit",IF(E89="-","není ve výkazech",IF(C89="Rozvaha",VLOOKUP(E89,'radky_R'!$A:$B,2,0),IF(C89="Výsledovka",VLOOKUP(E89,'radky_V'!A:M,2,0)))))</f>
        <v>není ve výkazech</v>
      </c>
      <c r="R89" s="154" t="str">
        <f>IF(ISBLANK(L89),"není alternativa",IF(L89="-","není ve výkazech",VLOOKUP(L89,'radky_R'!$A:$B,2,0)))</f>
        <v>není alternativa</v>
      </c>
      <c r="S89" s="157" t="s">
        <v>255</v>
      </c>
      <c r="T89" s="157" t="s">
        <v>877</v>
      </c>
    </row>
    <row r="90" spans="1:20" x14ac:dyDescent="0.3">
      <c r="A90" s="275">
        <v>259</v>
      </c>
      <c r="B90" s="157" t="s">
        <v>65</v>
      </c>
      <c r="C90" s="157" t="s">
        <v>351</v>
      </c>
      <c r="D90" s="158" t="s">
        <v>279</v>
      </c>
      <c r="E90" s="423">
        <v>70</v>
      </c>
      <c r="F90" s="419" t="s">
        <v>265</v>
      </c>
      <c r="G90" s="419" t="s">
        <v>256</v>
      </c>
      <c r="H90" s="419" t="s">
        <v>243</v>
      </c>
      <c r="I90" s="419"/>
      <c r="J90" s="419"/>
      <c r="K90" s="154" t="str">
        <f>IF(ISBLANK(E90),"ručně doplnit",IF(E90="-","není ve výkazech",IF(C90="Rozvaha",VLOOKUP(E90,'radky_R'!$A:$B,2,0),IF(C90="Výsledovka",VLOOKUP(E90,'radky_V'!A:M,2,0)))))</f>
        <v>Ostatní krátkodobý finanční majetek</v>
      </c>
      <c r="R90" s="154" t="str">
        <f>IF(ISBLANK(L90),"není alternativa",IF(L90="-","není ve výkazech",VLOOKUP(L90,'radky_R'!$A:$B,2,0)))</f>
        <v>není alternativa</v>
      </c>
      <c r="S90" s="157" t="s">
        <v>255</v>
      </c>
      <c r="T90" s="157" t="s">
        <v>877</v>
      </c>
    </row>
    <row r="91" spans="1:20" x14ac:dyDescent="0.3">
      <c r="A91" s="275">
        <v>259</v>
      </c>
      <c r="B91" s="157" t="s">
        <v>65</v>
      </c>
      <c r="C91" s="157" t="s">
        <v>351</v>
      </c>
      <c r="D91" s="158" t="s">
        <v>279</v>
      </c>
      <c r="E91" s="423">
        <v>69</v>
      </c>
      <c r="F91" s="419" t="s">
        <v>265</v>
      </c>
      <c r="G91" s="419" t="s">
        <v>256</v>
      </c>
      <c r="H91" s="419" t="s">
        <v>242</v>
      </c>
      <c r="I91" s="419"/>
      <c r="J91" s="419"/>
      <c r="K91" s="154" t="str">
        <f>IF(ISBLANK(E91),"ručně doplnit",IF(E91="-","není ve výkazech",IF(C91="Rozvaha",VLOOKUP(E91,'radky_R'!$A:$B,2,0),IF(C91="Výsledovka",VLOOKUP(E91,'radky_V'!A:M,2,0)))))</f>
        <v>Podíly - ovládaná nebo ovládající osoba</v>
      </c>
      <c r="R91" s="154" t="str">
        <f>IF(ISBLANK(L91),"není alternativa",IF(L91="-","není ve výkazech",VLOOKUP(L91,'radky_R'!$A:$B,2,0)))</f>
        <v>není alternativa</v>
      </c>
      <c r="S91" s="157" t="s">
        <v>255</v>
      </c>
      <c r="T91" s="157" t="s">
        <v>877</v>
      </c>
    </row>
    <row r="92" spans="1:20" x14ac:dyDescent="0.3">
      <c r="A92" s="275">
        <v>261</v>
      </c>
      <c r="B92" s="157" t="s">
        <v>66</v>
      </c>
      <c r="C92" s="157" t="s">
        <v>351</v>
      </c>
      <c r="D92" s="158" t="s">
        <v>279</v>
      </c>
      <c r="E92" s="423">
        <v>72</v>
      </c>
      <c r="F92" s="419" t="s">
        <v>265</v>
      </c>
      <c r="G92" s="419" t="s">
        <v>273</v>
      </c>
      <c r="H92" s="419" t="s">
        <v>242</v>
      </c>
      <c r="I92" s="419"/>
      <c r="J92" s="419"/>
      <c r="K92" s="154" t="str">
        <f>IF(ISBLANK(E92),"ručně doplnit",IF(E92="-","není ve výkazech",IF(C92="Rozvaha",VLOOKUP(E92,'radky_R'!$A:$B,2,0),IF(C92="Výsledovka",VLOOKUP(E92,'radky_V'!A:M,2,0)))))</f>
        <v>Peněžní prostředky v pokladně</v>
      </c>
      <c r="R92" s="154" t="str">
        <f>IF(ISBLANK(L92),"není alternativa",IF(L92="-","není ve výkazech",VLOOKUP(L92,'radky_R'!$A:$B,2,0)))</f>
        <v>není alternativa</v>
      </c>
      <c r="S92" s="157" t="s">
        <v>255</v>
      </c>
      <c r="T92" s="157" t="s">
        <v>877</v>
      </c>
    </row>
    <row r="93" spans="1:20" x14ac:dyDescent="0.3">
      <c r="A93" s="275">
        <v>261</v>
      </c>
      <c r="B93" s="157" t="s">
        <v>66</v>
      </c>
      <c r="C93" s="157" t="s">
        <v>351</v>
      </c>
      <c r="D93" s="158" t="s">
        <v>279</v>
      </c>
      <c r="E93" s="423">
        <v>73</v>
      </c>
      <c r="F93" s="419" t="s">
        <v>265</v>
      </c>
      <c r="G93" s="419" t="s">
        <v>273</v>
      </c>
      <c r="H93" s="419" t="s">
        <v>243</v>
      </c>
      <c r="I93" s="419"/>
      <c r="J93" s="419"/>
      <c r="K93" s="154" t="str">
        <f>IF(ISBLANK(E93),"ručně doplnit",IF(E93="-","není ve výkazech",IF(C93="Rozvaha",VLOOKUP(E93,'radky_R'!$A:$B,2,0),IF(C93="Výsledovka",VLOOKUP(E93,'radky_V'!A:M,2,0)))))</f>
        <v>Peněžní prostředky na účtech</v>
      </c>
      <c r="R93" s="154" t="str">
        <f>IF(ISBLANK(L93),"není alternativa",IF(L93="-","není ve výkazech",VLOOKUP(L93,'radky_R'!$A:$B,2,0)))</f>
        <v>není alternativa</v>
      </c>
      <c r="S93" s="157" t="s">
        <v>255</v>
      </c>
      <c r="T93" s="157" t="s">
        <v>877</v>
      </c>
    </row>
    <row r="94" spans="1:20" x14ac:dyDescent="0.3">
      <c r="A94" s="275">
        <v>291</v>
      </c>
      <c r="B94" s="157" t="s">
        <v>67</v>
      </c>
      <c r="C94" s="157" t="s">
        <v>351</v>
      </c>
      <c r="D94" s="158" t="s">
        <v>279</v>
      </c>
      <c r="E94" s="423">
        <v>70</v>
      </c>
      <c r="F94" s="419" t="s">
        <v>265</v>
      </c>
      <c r="G94" s="419" t="s">
        <v>256</v>
      </c>
      <c r="H94" s="419" t="s">
        <v>243</v>
      </c>
      <c r="I94" s="419"/>
      <c r="J94" s="419"/>
      <c r="K94" s="154" t="str">
        <f>IF(ISBLANK(E94),"ručně doplnit",IF(E94="-","není ve výkazech",IF(C94="Rozvaha",VLOOKUP(E94,'radky_R'!$A:$B,2,0),IF(C94="Výsledovka",VLOOKUP(E94,'radky_V'!A:M,2,0)))))</f>
        <v>Ostatní krátkodobý finanční majetek</v>
      </c>
      <c r="R94" s="154" t="str">
        <f>IF(ISBLANK(L94),"není alternativa",IF(L94="-","není ve výkazech",VLOOKUP(L94,'radky_R'!$A:$B,2,0)))</f>
        <v>není alternativa</v>
      </c>
      <c r="S94" s="157" t="s">
        <v>257</v>
      </c>
      <c r="T94" s="157" t="s">
        <v>877</v>
      </c>
    </row>
    <row r="95" spans="1:20" x14ac:dyDescent="0.3">
      <c r="A95" s="275">
        <v>291</v>
      </c>
      <c r="B95" s="157" t="s">
        <v>67</v>
      </c>
      <c r="C95" s="157" t="s">
        <v>351</v>
      </c>
      <c r="D95" s="158" t="s">
        <v>279</v>
      </c>
      <c r="E95" s="423">
        <v>69</v>
      </c>
      <c r="F95" s="419" t="s">
        <v>265</v>
      </c>
      <c r="G95" s="419" t="s">
        <v>256</v>
      </c>
      <c r="H95" s="419" t="s">
        <v>242</v>
      </c>
      <c r="I95" s="419"/>
      <c r="J95" s="419"/>
      <c r="K95" s="154" t="str">
        <f>IF(ISBLANK(E95),"ručně doplnit",IF(E95="-","není ve výkazech",IF(C95="Rozvaha",VLOOKUP(E95,'radky_R'!$A:$B,2,0),IF(C95="Výsledovka",VLOOKUP(E95,'radky_V'!A:M,2,0)))))</f>
        <v>Podíly - ovládaná nebo ovládající osoba</v>
      </c>
      <c r="R95" s="154" t="str">
        <f>IF(ISBLANK(L95),"není alternativa",IF(L95="-","není ve výkazech",VLOOKUP(L95,'radky_R'!$A:$B,2,0)))</f>
        <v>není alternativa</v>
      </c>
      <c r="S95" s="157" t="s">
        <v>257</v>
      </c>
      <c r="T95" s="157" t="s">
        <v>877</v>
      </c>
    </row>
    <row r="96" spans="1:20" x14ac:dyDescent="0.3">
      <c r="A96" s="275">
        <v>311</v>
      </c>
      <c r="B96" s="157" t="s">
        <v>69</v>
      </c>
      <c r="C96" s="157" t="s">
        <v>351</v>
      </c>
      <c r="D96" s="158" t="s">
        <v>279</v>
      </c>
      <c r="E96" s="423">
        <v>58</v>
      </c>
      <c r="F96" s="419" t="s">
        <v>265</v>
      </c>
      <c r="G96" s="419" t="s">
        <v>251</v>
      </c>
      <c r="H96" s="419" t="s">
        <v>243</v>
      </c>
      <c r="I96" s="419" t="s">
        <v>242</v>
      </c>
      <c r="J96" s="419"/>
      <c r="K96" s="154" t="str">
        <f>IF(ISBLANK(E96),"ručně doplnit",IF(E96="-","není ve výkazech",IF(C96="Rozvaha",VLOOKUP(E96,'radky_R'!$A:$B,2,0),IF(C96="Výsledovka",VLOOKUP(E96,'radky_V'!A:M,2,0)))))</f>
        <v>Pohledávky z obchodních vztahů</v>
      </c>
      <c r="R96" s="154" t="str">
        <f>IF(ISBLANK(L96),"není alternativa",IF(L96="-","není ve výkazech",VLOOKUP(L96,'radky_R'!$A:$B,2,0)))</f>
        <v>není alternativa</v>
      </c>
      <c r="S96" s="157" t="s">
        <v>255</v>
      </c>
      <c r="T96" s="157" t="s">
        <v>879</v>
      </c>
    </row>
    <row r="97" spans="1:20" x14ac:dyDescent="0.3">
      <c r="A97" s="275">
        <v>311</v>
      </c>
      <c r="B97" s="157" t="s">
        <v>69</v>
      </c>
      <c r="C97" s="157" t="s">
        <v>351</v>
      </c>
      <c r="D97" s="158" t="s">
        <v>279</v>
      </c>
      <c r="E97" s="423">
        <v>48</v>
      </c>
      <c r="F97" s="419" t="s">
        <v>265</v>
      </c>
      <c r="G97" s="419" t="s">
        <v>251</v>
      </c>
      <c r="H97" s="419" t="s">
        <v>242</v>
      </c>
      <c r="I97" s="419" t="s">
        <v>242</v>
      </c>
      <c r="J97" s="419"/>
      <c r="K97" s="154" t="str">
        <f>IF(ISBLANK(E97),"ručně doplnit",IF(E97="-","není ve výkazech",IF(C97="Rozvaha",VLOOKUP(E97,'radky_R'!$A:$B,2,0),IF(C97="Výsledovka",VLOOKUP(E97,'radky_V'!A:M,2,0)))))</f>
        <v>Pohledávky z obchodních vztahů</v>
      </c>
      <c r="R97" s="154" t="str">
        <f>IF(ISBLANK(L97),"není alternativa",IF(L97="-","není ve výkazech",VLOOKUP(L97,'radky_R'!$A:$B,2,0)))</f>
        <v>není alternativa</v>
      </c>
      <c r="S97" s="157" t="s">
        <v>255</v>
      </c>
      <c r="T97" s="157" t="s">
        <v>879</v>
      </c>
    </row>
    <row r="98" spans="1:20" x14ac:dyDescent="0.3">
      <c r="A98" s="275">
        <v>312</v>
      </c>
      <c r="B98" s="157" t="s">
        <v>70</v>
      </c>
      <c r="C98" s="157" t="s">
        <v>351</v>
      </c>
      <c r="D98" s="158" t="s">
        <v>279</v>
      </c>
      <c r="E98" s="275" t="s">
        <v>262</v>
      </c>
      <c r="K98" s="154" t="str">
        <f>IF(ISBLANK(E98),"ručně doplnit",IF(E98="-","není ve výkazech",IF(C98="Rozvaha",VLOOKUP(E98,'radky_R'!$A:$B,2,0),IF(C98="Výsledovka",VLOOKUP(E98,'radky_V'!A:M,2,0)))))</f>
        <v>není ve výkazech</v>
      </c>
      <c r="R98" s="154" t="str">
        <f>IF(ISBLANK(L98),"není alternativa",IF(L98="-","není ve výkazech",VLOOKUP(L98,'radky_R'!$A:$B,2,0)))</f>
        <v>není alternativa</v>
      </c>
      <c r="S98" s="157" t="s">
        <v>255</v>
      </c>
      <c r="T98" s="157" t="s">
        <v>879</v>
      </c>
    </row>
    <row r="99" spans="1:20" x14ac:dyDescent="0.3">
      <c r="A99" s="275">
        <v>313</v>
      </c>
      <c r="B99" s="157" t="s">
        <v>71</v>
      </c>
      <c r="C99" s="157" t="s">
        <v>351</v>
      </c>
      <c r="D99" s="158" t="s">
        <v>279</v>
      </c>
      <c r="E99" s="423">
        <v>58</v>
      </c>
      <c r="F99" s="419" t="s">
        <v>265</v>
      </c>
      <c r="G99" s="419" t="s">
        <v>251</v>
      </c>
      <c r="H99" s="419" t="s">
        <v>243</v>
      </c>
      <c r="I99" s="419" t="s">
        <v>242</v>
      </c>
      <c r="J99" s="419"/>
      <c r="K99" s="154" t="str">
        <f>IF(ISBLANK(E99),"ručně doplnit",IF(E99="-","není ve výkazech",IF(C99="Rozvaha",VLOOKUP(E99,'radky_R'!$A:$B,2,0),IF(C99="Výsledovka",VLOOKUP(E99,'radky_V'!A:M,2,0)))))</f>
        <v>Pohledávky z obchodních vztahů</v>
      </c>
      <c r="R99" s="154" t="str">
        <f>IF(ISBLANK(L99),"není alternativa",IF(L99="-","není ve výkazech",VLOOKUP(L99,'radky_R'!$A:$B,2,0)))</f>
        <v>není alternativa</v>
      </c>
      <c r="S99" s="157" t="s">
        <v>255</v>
      </c>
      <c r="T99" s="157" t="s">
        <v>879</v>
      </c>
    </row>
    <row r="100" spans="1:20" x14ac:dyDescent="0.3">
      <c r="A100" s="275">
        <v>313</v>
      </c>
      <c r="B100" s="157" t="s">
        <v>71</v>
      </c>
      <c r="C100" s="157" t="s">
        <v>351</v>
      </c>
      <c r="D100" s="158" t="s">
        <v>279</v>
      </c>
      <c r="E100" s="423">
        <v>48</v>
      </c>
      <c r="F100" s="419" t="s">
        <v>265</v>
      </c>
      <c r="G100" s="419" t="s">
        <v>251</v>
      </c>
      <c r="H100" s="419" t="s">
        <v>242</v>
      </c>
      <c r="I100" s="419" t="s">
        <v>242</v>
      </c>
      <c r="J100" s="419"/>
      <c r="K100" s="154" t="str">
        <f>IF(ISBLANK(E100),"ručně doplnit",IF(E100="-","není ve výkazech",IF(C100="Rozvaha",VLOOKUP(E100,'radky_R'!$A:$B,2,0),IF(C100="Výsledovka",VLOOKUP(E100,'radky_V'!A:M,2,0)))))</f>
        <v>Pohledávky z obchodních vztahů</v>
      </c>
      <c r="R100" s="154" t="str">
        <f>IF(ISBLANK(L100),"není alternativa",IF(L100="-","není ve výkazech",VLOOKUP(L100,'radky_R'!$A:$B,2,0)))</f>
        <v>není alternativa</v>
      </c>
      <c r="S100" s="157" t="s">
        <v>255</v>
      </c>
      <c r="T100" s="157" t="s">
        <v>879</v>
      </c>
    </row>
    <row r="101" spans="1:20" x14ac:dyDescent="0.3">
      <c r="A101" s="275">
        <v>314</v>
      </c>
      <c r="B101" s="157" t="s">
        <v>72</v>
      </c>
      <c r="C101" s="157" t="s">
        <v>351</v>
      </c>
      <c r="D101" s="158" t="s">
        <v>279</v>
      </c>
      <c r="E101" s="423">
        <v>65</v>
      </c>
      <c r="F101" s="419" t="s">
        <v>265</v>
      </c>
      <c r="G101" s="419" t="s">
        <v>251</v>
      </c>
      <c r="H101" s="419" t="s">
        <v>243</v>
      </c>
      <c r="I101" s="419" t="s">
        <v>245</v>
      </c>
      <c r="J101" s="419" t="s">
        <v>245</v>
      </c>
      <c r="K101" s="154" t="str">
        <f>IF(ISBLANK(E101),"ručně doplnit",IF(E101="-","není ve výkazech",IF(C101="Rozvaha",VLOOKUP(E101,'radky_R'!$A:$B,2,0),IF(C101="Výsledovka",VLOOKUP(E101,'radky_V'!A:M,2,0)))))</f>
        <v>Krátkodobé poskytnuté zálohy</v>
      </c>
      <c r="R101" s="154" t="str">
        <f>IF(ISBLANK(L101),"není alternativa",IF(L101="-","není ve výkazech",VLOOKUP(L101,'radky_R'!$A:$B,2,0)))</f>
        <v>není alternativa</v>
      </c>
      <c r="S101" s="157" t="s">
        <v>255</v>
      </c>
      <c r="T101" s="157" t="s">
        <v>880</v>
      </c>
    </row>
    <row r="102" spans="1:20" x14ac:dyDescent="0.3">
      <c r="A102" s="275">
        <v>314</v>
      </c>
      <c r="B102" s="157" t="s">
        <v>72</v>
      </c>
      <c r="C102" s="157" t="s">
        <v>351</v>
      </c>
      <c r="D102" s="158" t="s">
        <v>279</v>
      </c>
      <c r="E102" s="423">
        <v>54</v>
      </c>
      <c r="F102" s="419" t="s">
        <v>265</v>
      </c>
      <c r="G102" s="419" t="s">
        <v>251</v>
      </c>
      <c r="H102" s="419" t="s">
        <v>242</v>
      </c>
      <c r="I102" s="419" t="s">
        <v>246</v>
      </c>
      <c r="J102" s="419" t="s">
        <v>243</v>
      </c>
      <c r="K102" s="154" t="str">
        <f>IF(ISBLANK(E102),"ručně doplnit",IF(E102="-","není ve výkazech",IF(C102="Rozvaha",VLOOKUP(E102,'radky_R'!$A:$B,2,0),IF(C102="Výsledovka",VLOOKUP(E102,'radky_V'!A:M,2,0)))))</f>
        <v>Dlouhodobé poskytnuté zálohy</v>
      </c>
      <c r="R102" s="154" t="str">
        <f>IF(ISBLANK(L102),"není alternativa",IF(L102="-","není ve výkazech",VLOOKUP(L102,'radky_R'!$A:$B,2,0)))</f>
        <v>není alternativa</v>
      </c>
      <c r="S102" s="157" t="s">
        <v>255</v>
      </c>
      <c r="T102" s="157" t="s">
        <v>880</v>
      </c>
    </row>
    <row r="103" spans="1:20" x14ac:dyDescent="0.3">
      <c r="A103" s="275">
        <v>315</v>
      </c>
      <c r="B103" s="157" t="s">
        <v>73</v>
      </c>
      <c r="C103" s="157" t="s">
        <v>351</v>
      </c>
      <c r="D103" s="158" t="s">
        <v>279</v>
      </c>
      <c r="E103" s="423">
        <v>58</v>
      </c>
      <c r="F103" s="419" t="s">
        <v>265</v>
      </c>
      <c r="G103" s="419" t="s">
        <v>251</v>
      </c>
      <c r="H103" s="419" t="s">
        <v>243</v>
      </c>
      <c r="I103" s="419" t="s">
        <v>242</v>
      </c>
      <c r="J103" s="419"/>
      <c r="K103" s="154" t="str">
        <f>IF(ISBLANK(E103),"ručně doplnit",IF(E103="-","není ve výkazech",IF(C103="Rozvaha",VLOOKUP(E103,'radky_R'!$A:$B,2,0),IF(C103="Výsledovka",VLOOKUP(E103,'radky_V'!A:M,2,0)))))</f>
        <v>Pohledávky z obchodních vztahů</v>
      </c>
      <c r="R103" s="154" t="str">
        <f>IF(ISBLANK(L103),"není alternativa",IF(L103="-","není ve výkazech",VLOOKUP(L103,'radky_R'!$A:$B,2,0)))</f>
        <v>není alternativa</v>
      </c>
      <c r="S103" s="157" t="s">
        <v>255</v>
      </c>
      <c r="T103" s="157" t="s">
        <v>879</v>
      </c>
    </row>
    <row r="104" spans="1:20" x14ac:dyDescent="0.3">
      <c r="A104" s="275">
        <v>315</v>
      </c>
      <c r="B104" s="157" t="s">
        <v>73</v>
      </c>
      <c r="C104" s="157" t="s">
        <v>351</v>
      </c>
      <c r="D104" s="158" t="s">
        <v>279</v>
      </c>
      <c r="E104" s="423">
        <v>48</v>
      </c>
      <c r="F104" s="419" t="s">
        <v>265</v>
      </c>
      <c r="G104" s="419" t="s">
        <v>251</v>
      </c>
      <c r="H104" s="419" t="s">
        <v>242</v>
      </c>
      <c r="I104" s="419" t="s">
        <v>242</v>
      </c>
      <c r="J104" s="419"/>
      <c r="K104" s="154" t="str">
        <f>IF(ISBLANK(E104),"ručně doplnit",IF(E104="-","není ve výkazech",IF(C104="Rozvaha",VLOOKUP(E104,'radky_R'!$A:$B,2,0),IF(C104="Výsledovka",VLOOKUP(E104,'radky_V'!A:M,2,0)))))</f>
        <v>Pohledávky z obchodních vztahů</v>
      </c>
      <c r="R104" s="154" t="str">
        <f>IF(ISBLANK(L104),"není alternativa",IF(L104="-","není ve výkazech",VLOOKUP(L104,'radky_R'!$A:$B,2,0)))</f>
        <v>není alternativa</v>
      </c>
      <c r="S104" s="157" t="s">
        <v>255</v>
      </c>
      <c r="T104" s="157" t="s">
        <v>879</v>
      </c>
    </row>
    <row r="105" spans="1:20" x14ac:dyDescent="0.3">
      <c r="A105" s="275">
        <v>321</v>
      </c>
      <c r="B105" s="157" t="s">
        <v>1035</v>
      </c>
      <c r="C105" s="157" t="s">
        <v>351</v>
      </c>
      <c r="D105" s="158" t="s">
        <v>291</v>
      </c>
      <c r="E105" s="423">
        <v>128</v>
      </c>
      <c r="F105" s="419" t="s">
        <v>265</v>
      </c>
      <c r="G105" s="419" t="s">
        <v>251</v>
      </c>
      <c r="H105" s="419" t="s">
        <v>245</v>
      </c>
      <c r="I105" s="419"/>
      <c r="J105" s="419"/>
      <c r="K105" s="154" t="str">
        <f>IF(ISBLANK(E105),"ručně doplnit",IF(E105="-","není ve výkazech",IF(C105="Rozvaha",VLOOKUP(E105,'radky_R'!$A:$B,2,0),IF(C105="Výsledovka",VLOOKUP(E105,'radky_V'!A:M,2,0)))))</f>
        <v>Závazky z obchodních vztahů</v>
      </c>
      <c r="R105" s="154" t="str">
        <f>IF(ISBLANK(L105),"není alternativa",IF(L105="-","není ve výkazech",VLOOKUP(L105,'radky_R'!$A:$B,2,0)))</f>
        <v>není alternativa</v>
      </c>
      <c r="S105" s="157" t="s">
        <v>255</v>
      </c>
      <c r="T105" s="157" t="s">
        <v>880</v>
      </c>
    </row>
    <row r="106" spans="1:20" x14ac:dyDescent="0.3">
      <c r="A106" s="275">
        <v>322</v>
      </c>
      <c r="B106" s="157" t="s">
        <v>75</v>
      </c>
      <c r="C106" s="157" t="s">
        <v>351</v>
      </c>
      <c r="D106" s="158" t="s">
        <v>291</v>
      </c>
      <c r="E106" s="423">
        <v>129</v>
      </c>
      <c r="F106" s="419" t="s">
        <v>265</v>
      </c>
      <c r="G106" s="419" t="s">
        <v>251</v>
      </c>
      <c r="H106" s="419" t="s">
        <v>246</v>
      </c>
      <c r="I106" s="419"/>
      <c r="J106" s="419"/>
      <c r="K106" s="154" t="str">
        <f>IF(ISBLANK(E106),"ručně doplnit",IF(E106="-","není ve výkazech",IF(C106="Rozvaha",VLOOKUP(E106,'radky_R'!$A:$B,2,0),IF(C106="Výsledovka",VLOOKUP(E106,'radky_V'!A:M,2,0)))))</f>
        <v>Krátkodobé směnky k úhradě</v>
      </c>
      <c r="R106" s="154" t="str">
        <f>IF(ISBLANK(L106),"není alternativa",IF(L106="-","není ve výkazech",VLOOKUP(L106,'radky_R'!$A:$B,2,0)))</f>
        <v>není alternativa</v>
      </c>
      <c r="S106" s="157" t="s">
        <v>255</v>
      </c>
      <c r="T106" s="157" t="s">
        <v>880</v>
      </c>
    </row>
    <row r="107" spans="1:20" x14ac:dyDescent="0.3">
      <c r="A107" s="275">
        <v>324</v>
      </c>
      <c r="B107" s="157" t="s">
        <v>76</v>
      </c>
      <c r="C107" s="157" t="s">
        <v>351</v>
      </c>
      <c r="D107" s="158" t="s">
        <v>291</v>
      </c>
      <c r="E107" s="423">
        <v>127</v>
      </c>
      <c r="F107" s="419" t="s">
        <v>265</v>
      </c>
      <c r="G107" s="419" t="s">
        <v>251</v>
      </c>
      <c r="H107" s="419" t="s">
        <v>244</v>
      </c>
      <c r="I107" s="419"/>
      <c r="J107" s="419"/>
      <c r="K107" s="154" t="str">
        <f>IF(ISBLANK(E107),"ručně doplnit",IF(E107="-","není ve výkazech",IF(C107="Rozvaha",VLOOKUP(E107,'radky_R'!$A:$B,2,0),IF(C107="Výsledovka",VLOOKUP(E107,'radky_V'!A:M,2,0)))))</f>
        <v>Krátkodobé přijaté zálohy</v>
      </c>
      <c r="R107" s="154" t="str">
        <f>IF(ISBLANK(L107),"není alternativa",IF(L107="-","není ve výkazech",VLOOKUP(L107,'radky_R'!$A:$B,2,0)))</f>
        <v>není alternativa</v>
      </c>
      <c r="S107" s="157" t="s">
        <v>255</v>
      </c>
      <c r="T107" s="157" t="s">
        <v>879</v>
      </c>
    </row>
    <row r="108" spans="1:20" x14ac:dyDescent="0.3">
      <c r="A108" s="275">
        <v>325</v>
      </c>
      <c r="B108" s="157" t="s">
        <v>1036</v>
      </c>
      <c r="C108" s="157" t="s">
        <v>351</v>
      </c>
      <c r="D108" s="158" t="s">
        <v>291</v>
      </c>
      <c r="E108" s="423">
        <v>128</v>
      </c>
      <c r="F108" s="419" t="s">
        <v>265</v>
      </c>
      <c r="G108" s="419" t="s">
        <v>251</v>
      </c>
      <c r="H108" s="419" t="s">
        <v>245</v>
      </c>
      <c r="I108" s="419"/>
      <c r="J108" s="419"/>
      <c r="K108" s="154" t="str">
        <f>IF(ISBLANK(E108),"ručně doplnit",IF(E108="-","není ve výkazech",IF(C108="Rozvaha",VLOOKUP(E108,'radky_R'!$A:$B,2,0),IF(C108="Výsledovka",VLOOKUP(E108,'radky_V'!A:M,2,0)))))</f>
        <v>Závazky z obchodních vztahů</v>
      </c>
      <c r="R108" s="154" t="str">
        <f>IF(ISBLANK(L108),"není alternativa",IF(L108="-","není ve výkazech",VLOOKUP(L108,'radky_R'!$A:$B,2,0)))</f>
        <v>není alternativa</v>
      </c>
      <c r="S108" s="157" t="s">
        <v>255</v>
      </c>
      <c r="T108" s="157" t="s">
        <v>880</v>
      </c>
    </row>
    <row r="109" spans="1:20" x14ac:dyDescent="0.3">
      <c r="A109" s="275">
        <v>331</v>
      </c>
      <c r="B109" s="157" t="s">
        <v>77</v>
      </c>
      <c r="C109" s="157" t="s">
        <v>351</v>
      </c>
      <c r="D109" s="158" t="s">
        <v>291</v>
      </c>
      <c r="E109" s="423">
        <v>135</v>
      </c>
      <c r="F109" s="419" t="s">
        <v>265</v>
      </c>
      <c r="G109" s="419" t="s">
        <v>251</v>
      </c>
      <c r="H109" s="419" t="s">
        <v>249</v>
      </c>
      <c r="I109" s="419" t="s">
        <v>244</v>
      </c>
      <c r="J109" s="419"/>
      <c r="K109" s="154" t="str">
        <f>IF(ISBLANK(E109),"ručně doplnit",IF(E109="-","není ve výkazech",IF(C109="Rozvaha",VLOOKUP(E109,'radky_R'!$A:$B,2,0),IF(C109="Výsledovka",VLOOKUP(E109,'radky_V'!A:M,2,0)))))</f>
        <v>Závazky k zaměstnancům</v>
      </c>
      <c r="R109" s="154" t="str">
        <f>IF(ISBLANK(L109),"není alternativa",IF(L109="-","není ve výkazech",VLOOKUP(L109,'radky_R'!$A:$B,2,0)))</f>
        <v>není alternativa</v>
      </c>
      <c r="S109" s="157" t="s">
        <v>255</v>
      </c>
      <c r="T109" s="157" t="s">
        <v>881</v>
      </c>
    </row>
    <row r="110" spans="1:20" x14ac:dyDescent="0.3">
      <c r="A110" s="275">
        <v>333</v>
      </c>
      <c r="B110" s="157" t="s">
        <v>78</v>
      </c>
      <c r="C110" s="157" t="s">
        <v>351</v>
      </c>
      <c r="D110" s="158" t="s">
        <v>291</v>
      </c>
      <c r="E110" s="423">
        <v>135</v>
      </c>
      <c r="F110" s="419" t="s">
        <v>265</v>
      </c>
      <c r="G110" s="419" t="s">
        <v>251</v>
      </c>
      <c r="H110" s="419" t="s">
        <v>249</v>
      </c>
      <c r="I110" s="419" t="s">
        <v>244</v>
      </c>
      <c r="J110" s="419"/>
      <c r="K110" s="154" t="str">
        <f>IF(ISBLANK(E110),"ručně doplnit",IF(E110="-","není ve výkazech",IF(C110="Rozvaha",VLOOKUP(E110,'radky_R'!$A:$B,2,0),IF(C110="Výsledovka",VLOOKUP(E110,'radky_V'!A:M,2,0)))))</f>
        <v>Závazky k zaměstnancům</v>
      </c>
      <c r="R110" s="154" t="str">
        <f>IF(ISBLANK(L110),"není alternativa",IF(L110="-","není ve výkazech",VLOOKUP(L110,'radky_R'!$A:$B,2,0)))</f>
        <v>není alternativa</v>
      </c>
      <c r="S110" s="157" t="s">
        <v>255</v>
      </c>
      <c r="T110" s="157" t="s">
        <v>881</v>
      </c>
    </row>
    <row r="111" spans="1:20" x14ac:dyDescent="0.3">
      <c r="A111" s="275">
        <v>335</v>
      </c>
      <c r="B111" s="157" t="s">
        <v>79</v>
      </c>
      <c r="C111" s="157" t="s">
        <v>351</v>
      </c>
      <c r="D111" s="158" t="s">
        <v>279</v>
      </c>
      <c r="E111" s="423">
        <v>67</v>
      </c>
      <c r="F111" s="419" t="s">
        <v>265</v>
      </c>
      <c r="G111" s="419" t="s">
        <v>251</v>
      </c>
      <c r="H111" s="419" t="s">
        <v>243</v>
      </c>
      <c r="I111" s="419" t="s">
        <v>245</v>
      </c>
      <c r="J111" s="419" t="s">
        <v>247</v>
      </c>
      <c r="K111" s="154" t="str">
        <f>IF(ISBLANK(E111),"ručně doplnit",IF(E111="-","není ve výkazech",IF(C111="Rozvaha",VLOOKUP(E111,'radky_R'!$A:$B,2,0),IF(C111="Výsledovka",VLOOKUP(E111,'radky_V'!A:M,2,0)))))</f>
        <v>Jiné pohledávky</v>
      </c>
      <c r="R111" s="154" t="str">
        <f>IF(ISBLANK(L111),"není alternativa",IF(L111="-","není ve výkazech",VLOOKUP(L111,'radky_R'!$A:$B,2,0)))</f>
        <v>není alternativa</v>
      </c>
      <c r="S111" s="157" t="s">
        <v>255</v>
      </c>
      <c r="T111" s="157" t="s">
        <v>881</v>
      </c>
    </row>
    <row r="112" spans="1:20" x14ac:dyDescent="0.3">
      <c r="A112" s="275">
        <v>335</v>
      </c>
      <c r="B112" s="157" t="s">
        <v>79</v>
      </c>
      <c r="C112" s="157" t="s">
        <v>351</v>
      </c>
      <c r="D112" s="158" t="s">
        <v>279</v>
      </c>
      <c r="E112" s="423">
        <v>56</v>
      </c>
      <c r="F112" s="419" t="s">
        <v>265</v>
      </c>
      <c r="G112" s="419" t="s">
        <v>251</v>
      </c>
      <c r="H112" s="419" t="s">
        <v>242</v>
      </c>
      <c r="I112" s="419" t="s">
        <v>246</v>
      </c>
      <c r="J112" s="419" t="s">
        <v>245</v>
      </c>
      <c r="K112" s="154" t="str">
        <f>IF(ISBLANK(E112),"ručně doplnit",IF(E112="-","není ve výkazech",IF(C112="Rozvaha",VLOOKUP(E112,'radky_R'!$A:$B,2,0),IF(C112="Výsledovka",VLOOKUP(E112,'radky_V'!A:M,2,0)))))</f>
        <v>Jiné pohledávky</v>
      </c>
      <c r="R112" s="154" t="str">
        <f>IF(ISBLANK(L112),"není alternativa",IF(L112="-","není ve výkazech",VLOOKUP(L112,'radky_R'!$A:$B,2,0)))</f>
        <v>není alternativa</v>
      </c>
      <c r="S112" s="157" t="s">
        <v>255</v>
      </c>
      <c r="T112" s="157" t="s">
        <v>881</v>
      </c>
    </row>
    <row r="113" spans="1:22" x14ac:dyDescent="0.3">
      <c r="A113" s="275">
        <v>336</v>
      </c>
      <c r="B113" s="157" t="s">
        <v>80</v>
      </c>
      <c r="C113" s="157" t="s">
        <v>351</v>
      </c>
      <c r="D113" s="158" t="s">
        <v>318</v>
      </c>
      <c r="E113" s="423">
        <v>63</v>
      </c>
      <c r="F113" s="419" t="s">
        <v>265</v>
      </c>
      <c r="G113" s="419" t="s">
        <v>251</v>
      </c>
      <c r="H113" s="419" t="s">
        <v>243</v>
      </c>
      <c r="I113" s="419" t="s">
        <v>245</v>
      </c>
      <c r="J113" s="419" t="s">
        <v>243</v>
      </c>
      <c r="K113" s="154" t="str">
        <f>IF(ISBLANK(E113),"ručně doplnit",IF(E113="-","není ve výkazech",IF(C113="Rozvaha",VLOOKUP(E113,'radky_R'!$A:$B,2,0),IF(C113="Výsledovka",VLOOKUP(E113,'radky_V'!A:M,2,0)))))</f>
        <v>Sociální zabezpečení a zdravotní pojištění</v>
      </c>
      <c r="L113" s="423">
        <v>136</v>
      </c>
      <c r="M113" s="419" t="s">
        <v>265</v>
      </c>
      <c r="N113" s="419" t="s">
        <v>251</v>
      </c>
      <c r="O113" s="419" t="s">
        <v>249</v>
      </c>
      <c r="P113" s="419" t="s">
        <v>245</v>
      </c>
      <c r="Q113" s="419"/>
      <c r="R113" s="154" t="str">
        <f>IF(ISBLANK(L113),"není alternativa",IF(L113="-","není ve výkazech",VLOOKUP(L113,'radky_R'!$A:$B,2,0)))</f>
        <v>Závazky ze sociálního zabezpečení a zdravotního pojištění</v>
      </c>
      <c r="S113" s="157" t="s">
        <v>255</v>
      </c>
      <c r="T113" s="157" t="s">
        <v>881</v>
      </c>
    </row>
    <row r="114" spans="1:22" x14ac:dyDescent="0.3">
      <c r="A114" s="275">
        <v>341</v>
      </c>
      <c r="B114" s="157" t="s">
        <v>81</v>
      </c>
      <c r="C114" s="157" t="s">
        <v>351</v>
      </c>
      <c r="D114" s="158" t="s">
        <v>318</v>
      </c>
      <c r="E114" s="423">
        <v>64</v>
      </c>
      <c r="F114" s="419" t="s">
        <v>265</v>
      </c>
      <c r="G114" s="419" t="s">
        <v>251</v>
      </c>
      <c r="H114" s="419" t="s">
        <v>243</v>
      </c>
      <c r="I114" s="419" t="s">
        <v>245</v>
      </c>
      <c r="J114" s="419" t="s">
        <v>244</v>
      </c>
      <c r="K114" s="154" t="str">
        <f>IF(ISBLANK(E114),"ručně doplnit",IF(E114="-","není ve výkazech",IF(C114="Rozvaha",VLOOKUP(E114,'radky_R'!$A:$B,2,0),IF(C114="Výsledovka",VLOOKUP(E114,'radky_V'!A:M,2,0)))))</f>
        <v>Stát - daňové pohledávky</v>
      </c>
      <c r="L114" s="423">
        <v>137</v>
      </c>
      <c r="M114" s="419" t="s">
        <v>265</v>
      </c>
      <c r="N114" s="419" t="s">
        <v>251</v>
      </c>
      <c r="O114" s="419" t="s">
        <v>249</v>
      </c>
      <c r="P114" s="419" t="s">
        <v>246</v>
      </c>
      <c r="Q114" s="419"/>
      <c r="R114" s="154" t="str">
        <f>IF(ISBLANK(L114),"není alternativa",IF(L114="-","není ve výkazech",VLOOKUP(L114,'radky_R'!$A:$B,2,0)))</f>
        <v>Stát - daňové závazky a dotace</v>
      </c>
      <c r="S114" s="157" t="s">
        <v>255</v>
      </c>
      <c r="T114" s="157" t="s">
        <v>882</v>
      </c>
    </row>
    <row r="115" spans="1:22" x14ac:dyDescent="0.3">
      <c r="A115" s="275">
        <v>342</v>
      </c>
      <c r="B115" s="157" t="s">
        <v>82</v>
      </c>
      <c r="C115" s="157" t="s">
        <v>351</v>
      </c>
      <c r="D115" s="158" t="s">
        <v>318</v>
      </c>
      <c r="E115" s="423">
        <v>64</v>
      </c>
      <c r="F115" s="419" t="s">
        <v>265</v>
      </c>
      <c r="G115" s="419" t="s">
        <v>251</v>
      </c>
      <c r="H115" s="419" t="s">
        <v>243</v>
      </c>
      <c r="I115" s="419" t="s">
        <v>245</v>
      </c>
      <c r="J115" s="419" t="s">
        <v>244</v>
      </c>
      <c r="K115" s="154" t="str">
        <f>IF(ISBLANK(E115),"ručně doplnit",IF(E115="-","není ve výkazech",IF(C115="Rozvaha",VLOOKUP(E115,'radky_R'!$A:$B,2,0),IF(C115="Výsledovka",VLOOKUP(E115,'radky_V'!A:M,2,0)))))</f>
        <v>Stát - daňové pohledávky</v>
      </c>
      <c r="L115" s="423">
        <v>137</v>
      </c>
      <c r="M115" s="419" t="s">
        <v>265</v>
      </c>
      <c r="N115" s="419" t="s">
        <v>251</v>
      </c>
      <c r="O115" s="419" t="s">
        <v>249</v>
      </c>
      <c r="P115" s="419" t="s">
        <v>246</v>
      </c>
      <c r="Q115" s="419"/>
      <c r="R115" s="154" t="str">
        <f>IF(ISBLANK(L115),"není alternativa",IF(L115="-","není ve výkazech",VLOOKUP(L115,'radky_R'!$A:$B,2,0)))</f>
        <v>Stát - daňové závazky a dotace</v>
      </c>
      <c r="S115" s="157" t="s">
        <v>255</v>
      </c>
      <c r="T115" s="157" t="s">
        <v>882</v>
      </c>
    </row>
    <row r="116" spans="1:22" x14ac:dyDescent="0.3">
      <c r="A116" s="275">
        <v>343</v>
      </c>
      <c r="B116" s="157" t="s">
        <v>83</v>
      </c>
      <c r="C116" s="157" t="s">
        <v>351</v>
      </c>
      <c r="D116" s="158" t="s">
        <v>318</v>
      </c>
      <c r="E116" s="423">
        <v>64</v>
      </c>
      <c r="F116" s="419" t="s">
        <v>265</v>
      </c>
      <c r="G116" s="419" t="s">
        <v>251</v>
      </c>
      <c r="H116" s="419" t="s">
        <v>243</v>
      </c>
      <c r="I116" s="419" t="s">
        <v>245</v>
      </c>
      <c r="J116" s="419" t="s">
        <v>244</v>
      </c>
      <c r="K116" s="154" t="str">
        <f>IF(ISBLANK(E116),"ručně doplnit",IF(E116="-","není ve výkazech",IF(C116="Rozvaha",VLOOKUP(E116,'radky_R'!$A:$B,2,0),IF(C116="Výsledovka",VLOOKUP(E116,'radky_V'!A:M,2,0)))))</f>
        <v>Stát - daňové pohledávky</v>
      </c>
      <c r="L116" s="423">
        <v>137</v>
      </c>
      <c r="M116" s="419" t="s">
        <v>265</v>
      </c>
      <c r="N116" s="419" t="s">
        <v>251</v>
      </c>
      <c r="O116" s="419" t="s">
        <v>249</v>
      </c>
      <c r="P116" s="419" t="s">
        <v>246</v>
      </c>
      <c r="Q116" s="419"/>
      <c r="R116" s="154" t="str">
        <f>IF(ISBLANK(L116),"není alternativa",IF(L116="-","není ve výkazech",VLOOKUP(L116,'radky_R'!$A:$B,2,0)))</f>
        <v>Stát - daňové závazky a dotace</v>
      </c>
      <c r="S116" s="157" t="s">
        <v>255</v>
      </c>
      <c r="T116" s="157" t="s">
        <v>882</v>
      </c>
    </row>
    <row r="117" spans="1:22" x14ac:dyDescent="0.3">
      <c r="A117" s="275">
        <v>345</v>
      </c>
      <c r="B117" s="157" t="s">
        <v>84</v>
      </c>
      <c r="C117" s="157" t="s">
        <v>351</v>
      </c>
      <c r="D117" s="158" t="s">
        <v>318</v>
      </c>
      <c r="E117" s="423">
        <v>64</v>
      </c>
      <c r="F117" s="419" t="s">
        <v>265</v>
      </c>
      <c r="G117" s="419" t="s">
        <v>251</v>
      </c>
      <c r="H117" s="419" t="s">
        <v>243</v>
      </c>
      <c r="I117" s="419" t="s">
        <v>245</v>
      </c>
      <c r="J117" s="419" t="s">
        <v>244</v>
      </c>
      <c r="K117" s="154" t="str">
        <f>IF(ISBLANK(E117),"ručně doplnit",IF(E117="-","není ve výkazech",IF(C117="Rozvaha",VLOOKUP(E117,'radky_R'!$A:$B,2,0),IF(C117="Výsledovka",VLOOKUP(E117,'radky_V'!A:M,2,0)))))</f>
        <v>Stát - daňové pohledávky</v>
      </c>
      <c r="L117" s="423">
        <v>137</v>
      </c>
      <c r="M117" s="419" t="s">
        <v>265</v>
      </c>
      <c r="N117" s="419" t="s">
        <v>251</v>
      </c>
      <c r="O117" s="419" t="s">
        <v>249</v>
      </c>
      <c r="P117" s="419" t="s">
        <v>246</v>
      </c>
      <c r="Q117" s="419"/>
      <c r="R117" s="154" t="str">
        <f>IF(ISBLANK(L117),"není alternativa",IF(L117="-","není ve výkazech",VLOOKUP(L117,'radky_R'!$A:$B,2,0)))</f>
        <v>Stát - daňové závazky a dotace</v>
      </c>
      <c r="S117" s="157" t="s">
        <v>255</v>
      </c>
      <c r="T117" s="157" t="s">
        <v>882</v>
      </c>
    </row>
    <row r="118" spans="1:22" x14ac:dyDescent="0.3">
      <c r="A118" s="275">
        <v>346</v>
      </c>
      <c r="B118" s="157" t="s">
        <v>85</v>
      </c>
      <c r="C118" s="157" t="s">
        <v>351</v>
      </c>
      <c r="D118" s="158" t="s">
        <v>291</v>
      </c>
      <c r="E118" s="423">
        <v>137</v>
      </c>
      <c r="F118" s="419" t="s">
        <v>265</v>
      </c>
      <c r="G118" s="419" t="s">
        <v>251</v>
      </c>
      <c r="H118" s="419" t="s">
        <v>249</v>
      </c>
      <c r="I118" s="419" t="s">
        <v>246</v>
      </c>
      <c r="J118" s="419"/>
      <c r="K118" s="154" t="str">
        <f>IF(ISBLANK(E118),"ručně doplnit",IF(E118="-","není ve výkazech",IF(C118="Rozvaha",VLOOKUP(E118,'radky_R'!$A:$B,2,0),IF(C118="Výsledovka",VLOOKUP(E118,'radky_V'!A:M,2,0)))))</f>
        <v>Stát - daňové závazky a dotace</v>
      </c>
      <c r="R118" s="154" t="str">
        <f>IF(ISBLANK(L118),"není alternativa",IF(L118="-","není ve výkazech",VLOOKUP(L118,'radky_R'!$A:$B,2,0)))</f>
        <v>není alternativa</v>
      </c>
      <c r="S118" s="157" t="s">
        <v>255</v>
      </c>
      <c r="T118" s="157" t="s">
        <v>882</v>
      </c>
    </row>
    <row r="119" spans="1:22" x14ac:dyDescent="0.3">
      <c r="A119" s="275">
        <v>347</v>
      </c>
      <c r="B119" s="157" t="s">
        <v>86</v>
      </c>
      <c r="C119" s="157" t="s">
        <v>351</v>
      </c>
      <c r="D119" s="158" t="s">
        <v>291</v>
      </c>
      <c r="E119" s="423">
        <v>137</v>
      </c>
      <c r="F119" s="419" t="s">
        <v>265</v>
      </c>
      <c r="G119" s="419" t="s">
        <v>251</v>
      </c>
      <c r="H119" s="419" t="s">
        <v>249</v>
      </c>
      <c r="I119" s="419" t="s">
        <v>246</v>
      </c>
      <c r="J119" s="419"/>
      <c r="K119" s="154" t="str">
        <f>IF(ISBLANK(E119),"ručně doplnit",IF(E119="-","není ve výkazech",IF(C119="Rozvaha",VLOOKUP(E119,'radky_R'!$A:$B,2,0),IF(C119="Výsledovka",VLOOKUP(E119,'radky_V'!A:M,2,0)))))</f>
        <v>Stát - daňové závazky a dotace</v>
      </c>
      <c r="R119" s="154" t="str">
        <f>IF(ISBLANK(L119),"není alternativa",IF(L119="-","není ve výkazech",VLOOKUP(L119,'radky_R'!$A:$B,2,0)))</f>
        <v>není alternativa</v>
      </c>
      <c r="S119" s="157" t="s">
        <v>255</v>
      </c>
      <c r="T119" s="157" t="s">
        <v>882</v>
      </c>
    </row>
    <row r="120" spans="1:22" x14ac:dyDescent="0.3">
      <c r="A120" s="275">
        <v>348</v>
      </c>
      <c r="C120" s="157" t="s">
        <v>351</v>
      </c>
      <c r="D120" s="158" t="s">
        <v>291</v>
      </c>
      <c r="E120" s="423"/>
      <c r="F120" s="419"/>
      <c r="G120" s="419"/>
      <c r="H120" s="419"/>
      <c r="I120" s="419"/>
      <c r="J120" s="419"/>
      <c r="K120" s="154" t="str">
        <f>IF(ISBLANK(E120),"ručně doplnit",IF(E120="-","není ve výkazech",IF(C120="Rozvaha",VLOOKUP(E120,'radky_R'!$A:$B,2,0),IF(C120="Výsledovka",VLOOKUP(E120,'radky_V'!A:M,2,0)))))</f>
        <v>ručně doplnit</v>
      </c>
      <c r="R120" s="154" t="str">
        <f>IF(ISBLANK(L120),"není alternativa",IF(L120="-","není ve výkazech",VLOOKUP(L120,'radky_R'!$A:$B,2,0)))</f>
        <v>není alternativa</v>
      </c>
      <c r="S120" s="157" t="s">
        <v>255</v>
      </c>
      <c r="T120" s="157" t="s">
        <v>882</v>
      </c>
    </row>
    <row r="121" spans="1:22" x14ac:dyDescent="0.3">
      <c r="A121" s="275">
        <v>349</v>
      </c>
      <c r="B121" s="157" t="s">
        <v>87</v>
      </c>
      <c r="C121" s="157" t="s">
        <v>351</v>
      </c>
      <c r="D121" s="158" t="s">
        <v>279</v>
      </c>
      <c r="E121" s="423"/>
      <c r="F121" s="419"/>
      <c r="G121" s="419"/>
      <c r="H121" s="419"/>
      <c r="I121" s="419"/>
      <c r="J121" s="419"/>
      <c r="K121" s="154" t="str">
        <f>IF(ISBLANK(E121),"ručně doplnit",IF(E121="-","není ve výkazech",IF(C121="Rozvaha",VLOOKUP(E121,'radky_R'!$A:$B,2,0),IF(C121="Výsledovka",VLOOKUP(E121,'radky_V'!A:M,2,0)))))</f>
        <v>ručně doplnit</v>
      </c>
      <c r="R121" s="154" t="str">
        <f>IF(ISBLANK(L121),"není alternativa",IF(L121="-","není ve výkazech",VLOOKUP(L121,'radky_R'!$A:$B,2,0)))</f>
        <v>není alternativa</v>
      </c>
      <c r="S121" s="157" t="s">
        <v>255</v>
      </c>
      <c r="T121" s="157" t="s">
        <v>882</v>
      </c>
    </row>
    <row r="122" spans="1:22" x14ac:dyDescent="0.3">
      <c r="A122" s="275">
        <v>351</v>
      </c>
      <c r="B122" s="157" t="s">
        <v>88</v>
      </c>
      <c r="C122" s="157" t="s">
        <v>351</v>
      </c>
      <c r="D122" s="158" t="s">
        <v>279</v>
      </c>
      <c r="E122" s="423">
        <v>59</v>
      </c>
      <c r="F122" s="419" t="s">
        <v>265</v>
      </c>
      <c r="G122" s="419" t="s">
        <v>251</v>
      </c>
      <c r="H122" s="419" t="s">
        <v>243</v>
      </c>
      <c r="I122" s="419" t="s">
        <v>243</v>
      </c>
      <c r="J122" s="419"/>
      <c r="K122" s="154" t="str">
        <f>IF(ISBLANK(E122),"ručně doplnit",IF(E122="-","není ve výkazech",IF(C122="Rozvaha",VLOOKUP(E122,'radky_R'!$A:$B,2,0),IF(C122="Výsledovka",VLOOKUP(E122,'radky_V'!A:M,2,0)))))</f>
        <v>Pohledávky - ovládaná nebo ovládající osoba</v>
      </c>
      <c r="R122" s="154" t="str">
        <f>IF(ISBLANK(L122),"není alternativa",IF(L122="-","není ve výkazech",VLOOKUP(L122,'radky_R'!$A:$B,2,0)))</f>
        <v>není alternativa</v>
      </c>
      <c r="S122" s="157" t="s">
        <v>255</v>
      </c>
      <c r="T122" s="157" t="s">
        <v>877</v>
      </c>
      <c r="U122" s="157"/>
      <c r="V122" s="157"/>
    </row>
    <row r="123" spans="1:22" x14ac:dyDescent="0.3">
      <c r="A123" s="275">
        <v>351</v>
      </c>
      <c r="B123" s="157" t="s">
        <v>88</v>
      </c>
      <c r="C123" s="157" t="s">
        <v>351</v>
      </c>
      <c r="D123" s="158" t="s">
        <v>279</v>
      </c>
      <c r="E123" s="423">
        <v>49</v>
      </c>
      <c r="F123" s="419" t="s">
        <v>265</v>
      </c>
      <c r="G123" s="419" t="s">
        <v>251</v>
      </c>
      <c r="H123" s="419" t="s">
        <v>242</v>
      </c>
      <c r="I123" s="419" t="s">
        <v>243</v>
      </c>
      <c r="J123" s="419"/>
      <c r="K123" s="154" t="str">
        <f>IF(ISBLANK(E123),"ručně doplnit",IF(E123="-","není ve výkazech",IF(C123="Rozvaha",VLOOKUP(E123,'radky_R'!$A:$B,2,0),IF(C123="Výsledovka",VLOOKUP(E123,'radky_V'!A:M,2,0)))))</f>
        <v>Pohledávky - ovládaná nebo ovládající osoba</v>
      </c>
      <c r="R123" s="154" t="str">
        <f>IF(ISBLANK(L123),"není alternativa",IF(L123="-","není ve výkazech",VLOOKUP(L123,'radky_R'!$A:$B,2,0)))</f>
        <v>není alternativa</v>
      </c>
      <c r="S123" s="157" t="s">
        <v>255</v>
      </c>
      <c r="T123" s="157" t="s">
        <v>877</v>
      </c>
      <c r="U123" s="157"/>
      <c r="V123" s="157"/>
    </row>
    <row r="124" spans="1:22" x14ac:dyDescent="0.3">
      <c r="A124" s="275">
        <v>352</v>
      </c>
      <c r="B124" s="157" t="s">
        <v>89</v>
      </c>
      <c r="C124" s="157" t="s">
        <v>351</v>
      </c>
      <c r="D124" s="158" t="s">
        <v>279</v>
      </c>
      <c r="E124" s="423">
        <v>60</v>
      </c>
      <c r="F124" s="419" t="s">
        <v>265</v>
      </c>
      <c r="G124" s="419" t="s">
        <v>251</v>
      </c>
      <c r="H124" s="419" t="s">
        <v>243</v>
      </c>
      <c r="I124" s="419" t="s">
        <v>244</v>
      </c>
      <c r="J124" s="419"/>
      <c r="K124" s="154" t="str">
        <f>IF(ISBLANK(E124),"ručně doplnit",IF(E124="-","není ve výkazech",IF(C124="Rozvaha",VLOOKUP(E124,'radky_R'!$A:$B,2,0),IF(C124="Výsledovka",VLOOKUP(E124,'radky_V'!A:M,2,0)))))</f>
        <v>Pohledávky - podstatný vliv</v>
      </c>
      <c r="R124" s="154" t="str">
        <f>IF(ISBLANK(L124),"není alternativa",IF(L124="-","není ve výkazech",VLOOKUP(L124,'radky_R'!$A:$B,2,0)))</f>
        <v>není alternativa</v>
      </c>
      <c r="S124" s="157" t="s">
        <v>255</v>
      </c>
      <c r="T124" s="157" t="s">
        <v>877</v>
      </c>
      <c r="U124" s="157"/>
      <c r="V124" s="157"/>
    </row>
    <row r="125" spans="1:22" x14ac:dyDescent="0.3">
      <c r="A125" s="275">
        <v>352</v>
      </c>
      <c r="B125" s="157" t="s">
        <v>89</v>
      </c>
      <c r="C125" s="157" t="s">
        <v>351</v>
      </c>
      <c r="D125" s="158" t="s">
        <v>279</v>
      </c>
      <c r="E125" s="423">
        <v>50</v>
      </c>
      <c r="F125" s="419" t="s">
        <v>265</v>
      </c>
      <c r="G125" s="419" t="s">
        <v>251</v>
      </c>
      <c r="H125" s="419" t="s">
        <v>242</v>
      </c>
      <c r="I125" s="419" t="s">
        <v>244</v>
      </c>
      <c r="J125" s="419"/>
      <c r="K125" s="154" t="str">
        <f>IF(ISBLANK(E125),"ručně doplnit",IF(E125="-","není ve výkazech",IF(C125="Rozvaha",VLOOKUP(E125,'radky_R'!$A:$B,2,0),IF(C125="Výsledovka",VLOOKUP(E125,'radky_V'!A:M,2,0)))))</f>
        <v>Pohledávky - podstatný vliv</v>
      </c>
      <c r="R125" s="154" t="str">
        <f>IF(ISBLANK(L125),"není alternativa",IF(L125="-","není ve výkazech",VLOOKUP(L125,'radky_R'!$A:$B,2,0)))</f>
        <v>není alternativa</v>
      </c>
      <c r="S125" s="157" t="s">
        <v>255</v>
      </c>
      <c r="T125" s="157" t="s">
        <v>877</v>
      </c>
      <c r="U125" s="157"/>
      <c r="V125" s="157"/>
    </row>
    <row r="126" spans="1:22" x14ac:dyDescent="0.3">
      <c r="A126" s="275">
        <v>353</v>
      </c>
      <c r="B126" s="157" t="s">
        <v>90</v>
      </c>
      <c r="C126" s="157" t="s">
        <v>351</v>
      </c>
      <c r="D126" s="158" t="s">
        <v>279</v>
      </c>
      <c r="E126" s="423">
        <v>2</v>
      </c>
      <c r="F126" s="419" t="s">
        <v>239</v>
      </c>
      <c r="G126" s="419"/>
      <c r="H126" s="419"/>
      <c r="I126" s="419"/>
      <c r="J126" s="419"/>
      <c r="K126" s="154" t="str">
        <f>IF(ISBLANK(E126),"ručně doplnit",IF(E126="-","není ve výkazech",IF(C126="Rozvaha",VLOOKUP(E126,'radky_R'!$A:$B,2,0),IF(C126="Výsledovka",VLOOKUP(E126,'radky_V'!A:M,2,0)))))</f>
        <v>Pohledávky za upsaný základní kapitál</v>
      </c>
      <c r="R126" s="154" t="str">
        <f>IF(ISBLANK(L126),"není alternativa",IF(L126="-","není ve výkazech",VLOOKUP(L126,'radky_R'!$A:$B,2,0)))</f>
        <v>není alternativa</v>
      </c>
      <c r="S126" s="157" t="s">
        <v>255</v>
      </c>
      <c r="T126" s="157" t="s">
        <v>877</v>
      </c>
    </row>
    <row r="127" spans="1:22" x14ac:dyDescent="0.3">
      <c r="A127" s="275">
        <v>354</v>
      </c>
      <c r="B127" s="157" t="s">
        <v>91</v>
      </c>
      <c r="C127" s="157" t="s">
        <v>351</v>
      </c>
      <c r="D127" s="158" t="s">
        <v>279</v>
      </c>
      <c r="E127" s="423">
        <v>62</v>
      </c>
      <c r="F127" s="419" t="s">
        <v>265</v>
      </c>
      <c r="G127" s="419" t="s">
        <v>251</v>
      </c>
      <c r="H127" s="419" t="s">
        <v>243</v>
      </c>
      <c r="I127" s="419" t="s">
        <v>245</v>
      </c>
      <c r="J127" s="419" t="s">
        <v>242</v>
      </c>
      <c r="K127" s="154" t="str">
        <f>IF(ISBLANK(E127),"ručně doplnit",IF(E127="-","není ve výkazech",IF(C127="Rozvaha",VLOOKUP(E127,'radky_R'!$A:$B,2,0),IF(C127="Výsledovka",VLOOKUP(E127,'radky_V'!A:M,2,0)))))</f>
        <v>Pohledávky za společníky</v>
      </c>
      <c r="R127" s="154" t="str">
        <f>IF(ISBLANK(L127),"není alternativa",IF(L127="-","není ve výkazech",VLOOKUP(L127,'radky_R'!$A:$B,2,0)))</f>
        <v>není alternativa</v>
      </c>
      <c r="S127" s="157" t="s">
        <v>255</v>
      </c>
      <c r="T127" s="157" t="s">
        <v>877</v>
      </c>
    </row>
    <row r="128" spans="1:22" x14ac:dyDescent="0.3">
      <c r="A128" s="275">
        <v>354</v>
      </c>
      <c r="B128" s="157" t="s">
        <v>91</v>
      </c>
      <c r="C128" s="157" t="s">
        <v>351</v>
      </c>
      <c r="D128" s="158" t="s">
        <v>279</v>
      </c>
      <c r="E128" s="423">
        <v>53</v>
      </c>
      <c r="F128" s="419" t="s">
        <v>265</v>
      </c>
      <c r="G128" s="419" t="s">
        <v>251</v>
      </c>
      <c r="H128" s="419" t="s">
        <v>242</v>
      </c>
      <c r="I128" s="419" t="s">
        <v>246</v>
      </c>
      <c r="J128" s="419" t="s">
        <v>242</v>
      </c>
      <c r="K128" s="154" t="str">
        <f>IF(ISBLANK(E128),"ručně doplnit",IF(E128="-","není ve výkazech",IF(C128="Rozvaha",VLOOKUP(E128,'radky_R'!$A:$B,2,0),IF(C128="Výsledovka",VLOOKUP(E128,'radky_V'!A:M,2,0)))))</f>
        <v>Pohledávky za společníky</v>
      </c>
      <c r="R128" s="154" t="str">
        <f>IF(ISBLANK(L128),"není alternativa",IF(L128="-","není ve výkazech",VLOOKUP(L128,'radky_R'!$A:$B,2,0)))</f>
        <v>není alternativa</v>
      </c>
      <c r="S128" s="157" t="s">
        <v>255</v>
      </c>
      <c r="T128" s="157" t="s">
        <v>877</v>
      </c>
    </row>
    <row r="129" spans="1:22" x14ac:dyDescent="0.3">
      <c r="A129" s="275">
        <v>355</v>
      </c>
      <c r="B129" s="157" t="s">
        <v>92</v>
      </c>
      <c r="C129" s="157" t="s">
        <v>351</v>
      </c>
      <c r="D129" s="158" t="s">
        <v>279</v>
      </c>
      <c r="E129" s="423">
        <v>62</v>
      </c>
      <c r="F129" s="419" t="s">
        <v>265</v>
      </c>
      <c r="G129" s="419" t="s">
        <v>251</v>
      </c>
      <c r="H129" s="419" t="s">
        <v>243</v>
      </c>
      <c r="I129" s="419" t="s">
        <v>245</v>
      </c>
      <c r="J129" s="419" t="s">
        <v>242</v>
      </c>
      <c r="K129" s="154" t="str">
        <f>IF(ISBLANK(E129),"ručně doplnit",IF(E129="-","není ve výkazech",IF(C129="Rozvaha",VLOOKUP(E129,'radky_R'!$A:$B,2,0),IF(C129="Výsledovka",VLOOKUP(E129,'radky_V'!A:M,2,0)))))</f>
        <v>Pohledávky za společníky</v>
      </c>
      <c r="O129" s="421"/>
      <c r="P129" s="421"/>
      <c r="Q129" s="421"/>
      <c r="R129" s="154" t="str">
        <f>IF(ISBLANK(L129),"není alternativa",IF(L129="-","není ve výkazech",VLOOKUP(L129,'radky_R'!$A:$B,2,0)))</f>
        <v>není alternativa</v>
      </c>
      <c r="S129" s="157" t="s">
        <v>255</v>
      </c>
      <c r="T129" s="157" t="s">
        <v>877</v>
      </c>
      <c r="U129" s="157"/>
      <c r="V129" s="279"/>
    </row>
    <row r="130" spans="1:22" x14ac:dyDescent="0.3">
      <c r="A130" s="275">
        <v>355</v>
      </c>
      <c r="B130" s="157" t="s">
        <v>92</v>
      </c>
      <c r="C130" s="157" t="s">
        <v>351</v>
      </c>
      <c r="D130" s="158" t="s">
        <v>279</v>
      </c>
      <c r="E130" s="423">
        <v>53</v>
      </c>
      <c r="F130" s="419" t="s">
        <v>265</v>
      </c>
      <c r="G130" s="419" t="s">
        <v>251</v>
      </c>
      <c r="H130" s="419" t="s">
        <v>242</v>
      </c>
      <c r="I130" s="419" t="s">
        <v>246</v>
      </c>
      <c r="J130" s="419" t="s">
        <v>242</v>
      </c>
      <c r="K130" s="154" t="str">
        <f>IF(ISBLANK(E130),"ručně doplnit",IF(E130="-","není ve výkazech",IF(C130="Rozvaha",VLOOKUP(E130,'radky_R'!$A:$B,2,0),IF(C130="Výsledovka",VLOOKUP(E130,'radky_V'!A:M,2,0)))))</f>
        <v>Pohledávky za společníky</v>
      </c>
      <c r="O130" s="421"/>
      <c r="P130" s="421"/>
      <c r="Q130" s="421"/>
      <c r="R130" s="154" t="str">
        <f>IF(ISBLANK(L130),"není alternativa",IF(L130="-","není ve výkazech",VLOOKUP(L130,'radky_R'!$A:$B,2,0)))</f>
        <v>není alternativa</v>
      </c>
      <c r="S130" s="157" t="s">
        <v>255</v>
      </c>
      <c r="T130" s="157" t="s">
        <v>877</v>
      </c>
      <c r="U130" s="157"/>
      <c r="V130" s="279"/>
    </row>
    <row r="131" spans="1:22" x14ac:dyDescent="0.3">
      <c r="A131" s="275">
        <v>358</v>
      </c>
      <c r="B131" s="157" t="s">
        <v>93</v>
      </c>
      <c r="C131" s="157" t="s">
        <v>351</v>
      </c>
      <c r="D131" s="158" t="s">
        <v>279</v>
      </c>
      <c r="E131" s="423">
        <v>62</v>
      </c>
      <c r="F131" s="419" t="s">
        <v>265</v>
      </c>
      <c r="G131" s="419" t="s">
        <v>251</v>
      </c>
      <c r="H131" s="419" t="s">
        <v>243</v>
      </c>
      <c r="I131" s="419" t="s">
        <v>245</v>
      </c>
      <c r="J131" s="419" t="s">
        <v>242</v>
      </c>
      <c r="K131" s="154" t="str">
        <f>IF(ISBLANK(E131),"ručně doplnit",IF(E131="-","není ve výkazech",IF(C131="Rozvaha",VLOOKUP(E131,'radky_R'!$A:$B,2,0),IF(C131="Výsledovka",VLOOKUP(E131,'radky_V'!A:M,2,0)))))</f>
        <v>Pohledávky za společníky</v>
      </c>
      <c r="O131" s="421"/>
      <c r="P131" s="421"/>
      <c r="Q131" s="421"/>
      <c r="R131" s="154" t="str">
        <f>IF(ISBLANK(L131),"není alternativa",IF(L131="-","není ve výkazech",VLOOKUP(L131,'radky_R'!$A:$B,2,0)))</f>
        <v>není alternativa</v>
      </c>
      <c r="S131" s="157" t="s">
        <v>255</v>
      </c>
      <c r="T131" s="157" t="s">
        <v>877</v>
      </c>
      <c r="U131" s="157"/>
      <c r="V131" s="279"/>
    </row>
    <row r="132" spans="1:22" x14ac:dyDescent="0.3">
      <c r="A132" s="275">
        <v>358</v>
      </c>
      <c r="B132" s="157" t="s">
        <v>93</v>
      </c>
      <c r="C132" s="157" t="s">
        <v>351</v>
      </c>
      <c r="D132" s="158" t="s">
        <v>279</v>
      </c>
      <c r="E132" s="423">
        <v>53</v>
      </c>
      <c r="F132" s="419" t="s">
        <v>265</v>
      </c>
      <c r="G132" s="419" t="s">
        <v>251</v>
      </c>
      <c r="H132" s="419" t="s">
        <v>242</v>
      </c>
      <c r="I132" s="419" t="s">
        <v>246</v>
      </c>
      <c r="J132" s="419" t="s">
        <v>242</v>
      </c>
      <c r="K132" s="154" t="str">
        <f>IF(ISBLANK(E132),"ručně doplnit",IF(E132="-","není ve výkazech",IF(C132="Rozvaha",VLOOKUP(E132,'radky_R'!$A:$B,2,0),IF(C132="Výsledovka",VLOOKUP(E132,'radky_V'!A:M,2,0)))))</f>
        <v>Pohledávky za společníky</v>
      </c>
      <c r="O132" s="421"/>
      <c r="P132" s="421"/>
      <c r="Q132" s="421"/>
      <c r="R132" s="154" t="str">
        <f>IF(ISBLANK(L132),"není alternativa",IF(L132="-","není ve výkazech",VLOOKUP(L132,'radky_R'!$A:$B,2,0)))</f>
        <v>není alternativa</v>
      </c>
      <c r="S132" s="157" t="s">
        <v>255</v>
      </c>
      <c r="T132" s="157" t="s">
        <v>877</v>
      </c>
      <c r="U132" s="157"/>
      <c r="V132" s="279"/>
    </row>
    <row r="133" spans="1:22" x14ac:dyDescent="0.3">
      <c r="A133" s="275">
        <v>361</v>
      </c>
      <c r="B133" s="157" t="s">
        <v>94</v>
      </c>
      <c r="C133" s="157" t="s">
        <v>351</v>
      </c>
      <c r="D133" s="158" t="s">
        <v>291</v>
      </c>
      <c r="E133" s="423">
        <v>130</v>
      </c>
      <c r="F133" s="419" t="s">
        <v>265</v>
      </c>
      <c r="G133" s="419" t="s">
        <v>251</v>
      </c>
      <c r="H133" s="419" t="s">
        <v>247</v>
      </c>
      <c r="I133" s="419"/>
      <c r="J133" s="419"/>
      <c r="K133" s="154" t="str">
        <f>IF(ISBLANK(E133),"ručně doplnit",IF(E133="-","není ve výkazech",IF(C133="Rozvaha",VLOOKUP(E133,'radky_R'!$A:$B,2,0),IF(C133="Výsledovka",VLOOKUP(E133,'radky_V'!A:M,2,0)))))</f>
        <v>Závazky - ovládaná nebo ovládající osoba</v>
      </c>
      <c r="R133" s="154" t="str">
        <f>IF(ISBLANK(L133),"není alternativa",IF(L133="-","není ve výkazech",VLOOKUP(L133,'radky_R'!$A:$B,2,0)))</f>
        <v>není alternativa</v>
      </c>
      <c r="S133" s="157" t="s">
        <v>255</v>
      </c>
      <c r="T133" s="157" t="s">
        <v>877</v>
      </c>
    </row>
    <row r="134" spans="1:22" x14ac:dyDescent="0.3">
      <c r="A134" s="275">
        <v>362</v>
      </c>
      <c r="B134" s="157" t="s">
        <v>95</v>
      </c>
      <c r="C134" s="157" t="s">
        <v>351</v>
      </c>
      <c r="D134" s="158" t="s">
        <v>291</v>
      </c>
      <c r="E134" s="423">
        <v>131</v>
      </c>
      <c r="F134" s="419" t="s">
        <v>265</v>
      </c>
      <c r="G134" s="419" t="s">
        <v>251</v>
      </c>
      <c r="H134" s="419" t="s">
        <v>248</v>
      </c>
      <c r="I134" s="419"/>
      <c r="J134" s="419"/>
      <c r="K134" s="154" t="str">
        <f>IF(ISBLANK(E134),"ručně doplnit",IF(E134="-","není ve výkazech",IF(C134="Rozvaha",VLOOKUP(E134,'radky_R'!$A:$B,2,0),IF(C134="Výsledovka",VLOOKUP(E134,'radky_V'!A:M,2,0)))))</f>
        <v>Závazky - podstatný vliv</v>
      </c>
      <c r="R134" s="154" t="str">
        <f>IF(ISBLANK(L134),"není alternativa",IF(L134="-","není ve výkazech",VLOOKUP(L134,'radky_R'!$A:$B,2,0)))</f>
        <v>není alternativa</v>
      </c>
      <c r="S134" s="157" t="s">
        <v>255</v>
      </c>
      <c r="T134" s="157" t="s">
        <v>877</v>
      </c>
    </row>
    <row r="135" spans="1:22" x14ac:dyDescent="0.3">
      <c r="A135" s="275">
        <v>364</v>
      </c>
      <c r="B135" s="157" t="s">
        <v>96</v>
      </c>
      <c r="C135" s="157" t="s">
        <v>351</v>
      </c>
      <c r="D135" s="158" t="s">
        <v>291</v>
      </c>
      <c r="E135" s="423">
        <v>133</v>
      </c>
      <c r="F135" s="419" t="s">
        <v>265</v>
      </c>
      <c r="G135" s="419" t="s">
        <v>251</v>
      </c>
      <c r="H135" s="419" t="s">
        <v>249</v>
      </c>
      <c r="I135" s="419" t="s">
        <v>242</v>
      </c>
      <c r="J135" s="419"/>
      <c r="K135" s="154" t="str">
        <f>IF(ISBLANK(E135),"ručně doplnit",IF(E135="-","není ve výkazech",IF(C135="Rozvaha",VLOOKUP(E135,'radky_R'!$A:$B,2,0),IF(C135="Výsledovka",VLOOKUP(E135,'radky_V'!A:M,2,0)))))</f>
        <v>Závazky ke společníkům</v>
      </c>
      <c r="R135" s="154" t="str">
        <f>IF(ISBLANK(L135),"není alternativa",IF(L135="-","není ve výkazech",VLOOKUP(L135,'radky_R'!$A:$B,2,0)))</f>
        <v>není alternativa</v>
      </c>
      <c r="S135" s="157" t="s">
        <v>255</v>
      </c>
      <c r="T135" s="157" t="s">
        <v>877</v>
      </c>
    </row>
    <row r="136" spans="1:22" x14ac:dyDescent="0.3">
      <c r="A136" s="275">
        <v>364</v>
      </c>
      <c r="B136" s="157" t="s">
        <v>96</v>
      </c>
      <c r="C136" s="157" t="s">
        <v>351</v>
      </c>
      <c r="D136" s="158" t="s">
        <v>291</v>
      </c>
      <c r="E136" s="423">
        <v>119</v>
      </c>
      <c r="F136" s="419" t="s">
        <v>265</v>
      </c>
      <c r="G136" s="419" t="s">
        <v>241</v>
      </c>
      <c r="H136" s="419" t="s">
        <v>252</v>
      </c>
      <c r="I136" s="419" t="s">
        <v>242</v>
      </c>
      <c r="J136" s="419"/>
      <c r="K136" s="154" t="str">
        <f>IF(ISBLANK(E136),"ručně doplnit",IF(E136="-","není ve výkazech",IF(C136="Rozvaha",VLOOKUP(E136,'radky_R'!$A:$B,2,0),IF(C136="Výsledovka",VLOOKUP(E136,'radky_V'!A:M,2,0)))))</f>
        <v>Závazky ke společníkům</v>
      </c>
      <c r="R136" s="154" t="str">
        <f>IF(ISBLANK(L136),"není alternativa",IF(L136="-","není ve výkazech",VLOOKUP(L136,'radky_R'!$A:$B,2,0)))</f>
        <v>není alternativa</v>
      </c>
      <c r="S136" s="157" t="s">
        <v>255</v>
      </c>
      <c r="T136" s="157" t="s">
        <v>877</v>
      </c>
    </row>
    <row r="137" spans="1:22" x14ac:dyDescent="0.3">
      <c r="A137" s="275">
        <v>365</v>
      </c>
      <c r="B137" s="157" t="s">
        <v>97</v>
      </c>
      <c r="C137" s="157" t="s">
        <v>351</v>
      </c>
      <c r="D137" s="158" t="s">
        <v>291</v>
      </c>
      <c r="E137" s="423">
        <v>133</v>
      </c>
      <c r="F137" s="419" t="s">
        <v>265</v>
      </c>
      <c r="G137" s="419" t="s">
        <v>251</v>
      </c>
      <c r="H137" s="419" t="s">
        <v>249</v>
      </c>
      <c r="I137" s="419" t="s">
        <v>242</v>
      </c>
      <c r="J137" s="419"/>
      <c r="K137" s="154" t="str">
        <f>IF(ISBLANK(E137),"ručně doplnit",IF(E137="-","není ve výkazech",IF(C137="Rozvaha",VLOOKUP(E137,'radky_R'!$A:$B,2,0),IF(C137="Výsledovka",VLOOKUP(E137,'radky_V'!A:M,2,0)))))</f>
        <v>Závazky ke společníkům</v>
      </c>
      <c r="R137" s="154" t="str">
        <f>IF(ISBLANK(L137),"není alternativa",IF(L137="-","není ve výkazech",VLOOKUP(L137,'radky_R'!$A:$B,2,0)))</f>
        <v>není alternativa</v>
      </c>
      <c r="S137" s="157" t="s">
        <v>255</v>
      </c>
      <c r="T137" s="157" t="s">
        <v>877</v>
      </c>
    </row>
    <row r="138" spans="1:22" x14ac:dyDescent="0.3">
      <c r="A138" s="275">
        <v>365</v>
      </c>
      <c r="B138" s="157" t="s">
        <v>97</v>
      </c>
      <c r="C138" s="157" t="s">
        <v>351</v>
      </c>
      <c r="D138" s="158" t="s">
        <v>291</v>
      </c>
      <c r="E138" s="423">
        <v>119</v>
      </c>
      <c r="F138" s="419" t="s">
        <v>265</v>
      </c>
      <c r="G138" s="419" t="s">
        <v>241</v>
      </c>
      <c r="H138" s="419" t="s">
        <v>252</v>
      </c>
      <c r="I138" s="419" t="s">
        <v>242</v>
      </c>
      <c r="J138" s="419"/>
      <c r="K138" s="154" t="str">
        <f>IF(ISBLANK(E138),"ručně doplnit",IF(E138="-","není ve výkazech",IF(C138="Rozvaha",VLOOKUP(E138,'radky_R'!$A:$B,2,0),IF(C138="Výsledovka",VLOOKUP(E138,'radky_V'!A:M,2,0)))))</f>
        <v>Závazky ke společníkům</v>
      </c>
      <c r="R138" s="154" t="str">
        <f>IF(ISBLANK(L138),"není alternativa",IF(L138="-","není ve výkazech",VLOOKUP(L138,'radky_R'!$A:$B,2,0)))</f>
        <v>není alternativa</v>
      </c>
      <c r="S138" s="157" t="s">
        <v>255</v>
      </c>
      <c r="T138" s="157" t="s">
        <v>877</v>
      </c>
    </row>
    <row r="139" spans="1:22" x14ac:dyDescent="0.3">
      <c r="A139" s="275">
        <v>366</v>
      </c>
      <c r="B139" s="157" t="s">
        <v>98</v>
      </c>
      <c r="C139" s="157" t="s">
        <v>351</v>
      </c>
      <c r="D139" s="158" t="s">
        <v>291</v>
      </c>
      <c r="E139" s="423">
        <v>133</v>
      </c>
      <c r="F139" s="419" t="s">
        <v>265</v>
      </c>
      <c r="G139" s="419" t="s">
        <v>251</v>
      </c>
      <c r="H139" s="419" t="s">
        <v>249</v>
      </c>
      <c r="I139" s="419" t="s">
        <v>242</v>
      </c>
      <c r="J139" s="419"/>
      <c r="K139" s="154" t="str">
        <f>IF(ISBLANK(E139),"ručně doplnit",IF(E139="-","není ve výkazech",IF(C139="Rozvaha",VLOOKUP(E139,'radky_R'!$A:$B,2,0),IF(C139="Výsledovka",VLOOKUP(E139,'radky_V'!A:M,2,0)))))</f>
        <v>Závazky ke společníkům</v>
      </c>
      <c r="R139" s="154" t="str">
        <f>IF(ISBLANK(L139),"není alternativa",IF(L139="-","není ve výkazech",VLOOKUP(L139,'radky_R'!$A:$B,2,0)))</f>
        <v>není alternativa</v>
      </c>
      <c r="S139" s="157" t="s">
        <v>255</v>
      </c>
      <c r="T139" s="157" t="s">
        <v>877</v>
      </c>
    </row>
    <row r="140" spans="1:22" x14ac:dyDescent="0.3">
      <c r="A140" s="275">
        <v>366</v>
      </c>
      <c r="B140" s="157" t="s">
        <v>98</v>
      </c>
      <c r="C140" s="157" t="s">
        <v>351</v>
      </c>
      <c r="D140" s="158" t="s">
        <v>291</v>
      </c>
      <c r="E140" s="423">
        <v>119</v>
      </c>
      <c r="F140" s="419" t="s">
        <v>265</v>
      </c>
      <c r="G140" s="419" t="s">
        <v>241</v>
      </c>
      <c r="H140" s="419" t="s">
        <v>252</v>
      </c>
      <c r="I140" s="419" t="s">
        <v>242</v>
      </c>
      <c r="J140" s="419"/>
      <c r="K140" s="154" t="str">
        <f>IF(ISBLANK(E140),"ručně doplnit",IF(E140="-","není ve výkazech",IF(C140="Rozvaha",VLOOKUP(E140,'radky_R'!$A:$B,2,0),IF(C140="Výsledovka",VLOOKUP(E140,'radky_V'!A:M,2,0)))))</f>
        <v>Závazky ke společníkům</v>
      </c>
      <c r="R140" s="154" t="str">
        <f>IF(ISBLANK(L140),"není alternativa",IF(L140="-","není ve výkazech",VLOOKUP(L140,'radky_R'!$A:$B,2,0)))</f>
        <v>není alternativa</v>
      </c>
      <c r="S140" s="157" t="s">
        <v>255</v>
      </c>
      <c r="T140" s="157" t="s">
        <v>877</v>
      </c>
    </row>
    <row r="141" spans="1:22" x14ac:dyDescent="0.3">
      <c r="A141" s="275">
        <v>367</v>
      </c>
      <c r="B141" s="157" t="s">
        <v>99</v>
      </c>
      <c r="C141" s="157" t="s">
        <v>351</v>
      </c>
      <c r="D141" s="158" t="s">
        <v>291</v>
      </c>
      <c r="E141" s="423">
        <v>133</v>
      </c>
      <c r="F141" s="419" t="s">
        <v>265</v>
      </c>
      <c r="G141" s="419" t="s">
        <v>251</v>
      </c>
      <c r="H141" s="419" t="s">
        <v>249</v>
      </c>
      <c r="I141" s="419" t="s">
        <v>242</v>
      </c>
      <c r="J141" s="419"/>
      <c r="K141" s="154" t="str">
        <f>IF(ISBLANK(E141),"ručně doplnit",IF(E141="-","není ve výkazech",IF(C141="Rozvaha",VLOOKUP(E141,'radky_R'!$A:$B,2,0),IF(C141="Výsledovka",VLOOKUP(E141,'radky_V'!A:M,2,0)))))</f>
        <v>Závazky ke společníkům</v>
      </c>
      <c r="R141" s="154" t="str">
        <f>IF(ISBLANK(L141),"není alternativa",IF(L141="-","není ve výkazech",VLOOKUP(L141,'radky_R'!$A:$B,2,0)))</f>
        <v>není alternativa</v>
      </c>
      <c r="S141" s="157" t="s">
        <v>255</v>
      </c>
      <c r="T141" s="157" t="s">
        <v>877</v>
      </c>
    </row>
    <row r="142" spans="1:22" x14ac:dyDescent="0.3">
      <c r="A142" s="275">
        <v>367</v>
      </c>
      <c r="B142" s="157" t="s">
        <v>99</v>
      </c>
      <c r="C142" s="157" t="s">
        <v>351</v>
      </c>
      <c r="D142" s="158" t="s">
        <v>291</v>
      </c>
      <c r="E142" s="423">
        <v>119</v>
      </c>
      <c r="F142" s="419" t="s">
        <v>265</v>
      </c>
      <c r="G142" s="419" t="s">
        <v>241</v>
      </c>
      <c r="H142" s="419" t="s">
        <v>252</v>
      </c>
      <c r="I142" s="419" t="s">
        <v>242</v>
      </c>
      <c r="J142" s="419"/>
      <c r="K142" s="154" t="str">
        <f>IF(ISBLANK(E142),"ručně doplnit",IF(E142="-","není ve výkazech",IF(C142="Rozvaha",VLOOKUP(E142,'radky_R'!$A:$B,2,0),IF(C142="Výsledovka",VLOOKUP(E142,'radky_V'!A:M,2,0)))))</f>
        <v>Závazky ke společníkům</v>
      </c>
      <c r="R142" s="154" t="str">
        <f>IF(ISBLANK(L142),"není alternativa",IF(L142="-","není ve výkazech",VLOOKUP(L142,'radky_R'!$A:$B,2,0)))</f>
        <v>není alternativa</v>
      </c>
      <c r="S142" s="157" t="s">
        <v>255</v>
      </c>
      <c r="T142" s="157" t="s">
        <v>877</v>
      </c>
    </row>
    <row r="143" spans="1:22" x14ac:dyDescent="0.3">
      <c r="A143" s="275">
        <v>368</v>
      </c>
      <c r="B143" s="157" t="s">
        <v>100</v>
      </c>
      <c r="C143" s="157" t="s">
        <v>351</v>
      </c>
      <c r="D143" s="158" t="s">
        <v>291</v>
      </c>
      <c r="E143" s="423">
        <v>133</v>
      </c>
      <c r="F143" s="419" t="s">
        <v>265</v>
      </c>
      <c r="G143" s="419" t="s">
        <v>251</v>
      </c>
      <c r="H143" s="419" t="s">
        <v>249</v>
      </c>
      <c r="I143" s="419" t="s">
        <v>242</v>
      </c>
      <c r="J143" s="419"/>
      <c r="K143" s="154" t="str">
        <f>IF(ISBLANK(E143),"ručně doplnit",IF(E143="-","není ve výkazech",IF(C143="Rozvaha",VLOOKUP(E143,'radky_R'!$A:$B,2,0),IF(C143="Výsledovka",VLOOKUP(E143,'radky_V'!A:M,2,0)))))</f>
        <v>Závazky ke společníkům</v>
      </c>
      <c r="R143" s="154" t="str">
        <f>IF(ISBLANK(L143),"není alternativa",IF(L143="-","není ve výkazech",VLOOKUP(L143,'radky_R'!$A:$B,2,0)))</f>
        <v>není alternativa</v>
      </c>
      <c r="S143" s="157" t="s">
        <v>255</v>
      </c>
      <c r="T143" s="157" t="s">
        <v>877</v>
      </c>
    </row>
    <row r="144" spans="1:22" x14ac:dyDescent="0.3">
      <c r="A144" s="275">
        <v>368</v>
      </c>
      <c r="B144" s="157" t="s">
        <v>100</v>
      </c>
      <c r="C144" s="157" t="s">
        <v>351</v>
      </c>
      <c r="D144" s="158" t="s">
        <v>291</v>
      </c>
      <c r="E144" s="423">
        <v>119</v>
      </c>
      <c r="F144" s="419" t="s">
        <v>265</v>
      </c>
      <c r="G144" s="419" t="s">
        <v>241</v>
      </c>
      <c r="H144" s="419" t="s">
        <v>252</v>
      </c>
      <c r="I144" s="419" t="s">
        <v>242</v>
      </c>
      <c r="J144" s="419"/>
      <c r="K144" s="154" t="str">
        <f>IF(ISBLANK(E144),"ručně doplnit",IF(E144="-","není ve výkazech",IF(C144="Rozvaha",VLOOKUP(E144,'radky_R'!$A:$B,2,0),IF(C144="Výsledovka",VLOOKUP(E144,'radky_V'!A:M,2,0)))))</f>
        <v>Závazky ke společníkům</v>
      </c>
      <c r="R144" s="154" t="str">
        <f>IF(ISBLANK(L144),"není alternativa",IF(L144="-","není ve výkazech",VLOOKUP(L144,'radky_R'!$A:$B,2,0)))</f>
        <v>není alternativa</v>
      </c>
      <c r="S144" s="157" t="s">
        <v>255</v>
      </c>
      <c r="T144" s="157" t="s">
        <v>877</v>
      </c>
    </row>
    <row r="145" spans="1:20" x14ac:dyDescent="0.3">
      <c r="A145" s="275">
        <v>371</v>
      </c>
      <c r="B145" s="157" t="s">
        <v>101</v>
      </c>
      <c r="C145" s="157" t="s">
        <v>351</v>
      </c>
      <c r="D145" s="158" t="s">
        <v>279</v>
      </c>
      <c r="E145" s="423">
        <v>67</v>
      </c>
      <c r="F145" s="419" t="s">
        <v>265</v>
      </c>
      <c r="G145" s="419" t="s">
        <v>251</v>
      </c>
      <c r="H145" s="419" t="s">
        <v>243</v>
      </c>
      <c r="I145" s="419" t="s">
        <v>245</v>
      </c>
      <c r="J145" s="419" t="s">
        <v>247</v>
      </c>
      <c r="K145" s="154" t="str">
        <f>IF(ISBLANK(E145),"ručně doplnit",IF(E145="-","není ve výkazech",IF(C145="Rozvaha",VLOOKUP(E145,'radky_R'!$A:$B,2,0),IF(C145="Výsledovka",VLOOKUP(E145,'radky_V'!A:M,2,0)))))</f>
        <v>Jiné pohledávky</v>
      </c>
      <c r="R145" s="154" t="str">
        <f>IF(ISBLANK(L145),"není alternativa",IF(L145="-","není ve výkazech",VLOOKUP(L145,'radky_R'!$A:$B,2,0)))</f>
        <v>není alternativa</v>
      </c>
      <c r="S145" s="157" t="s">
        <v>255</v>
      </c>
      <c r="T145" s="157" t="s">
        <v>877</v>
      </c>
    </row>
    <row r="146" spans="1:20" x14ac:dyDescent="0.3">
      <c r="A146" s="275">
        <v>371</v>
      </c>
      <c r="B146" s="157" t="s">
        <v>101</v>
      </c>
      <c r="C146" s="157" t="s">
        <v>351</v>
      </c>
      <c r="D146" s="158" t="s">
        <v>279</v>
      </c>
      <c r="E146" s="423">
        <v>56</v>
      </c>
      <c r="F146" s="419" t="s">
        <v>265</v>
      </c>
      <c r="G146" s="419" t="s">
        <v>251</v>
      </c>
      <c r="H146" s="419" t="s">
        <v>242</v>
      </c>
      <c r="I146" s="419" t="s">
        <v>246</v>
      </c>
      <c r="J146" s="419" t="s">
        <v>245</v>
      </c>
      <c r="K146" s="154" t="str">
        <f>IF(ISBLANK(E146),"ručně doplnit",IF(E146="-","není ve výkazech",IF(C146="Rozvaha",VLOOKUP(E146,'radky_R'!$A:$B,2,0),IF(C146="Výsledovka",VLOOKUP(E146,'radky_V'!A:M,2,0)))))</f>
        <v>Jiné pohledávky</v>
      </c>
      <c r="R146" s="154" t="str">
        <f>IF(ISBLANK(L146),"není alternativa",IF(L146="-","není ve výkazech",VLOOKUP(L146,'radky_R'!$A:$B,2,0)))</f>
        <v>není alternativa</v>
      </c>
      <c r="S146" s="157" t="s">
        <v>255</v>
      </c>
      <c r="T146" s="157" t="s">
        <v>877</v>
      </c>
    </row>
    <row r="147" spans="1:20" x14ac:dyDescent="0.3">
      <c r="A147" s="275">
        <v>372</v>
      </c>
      <c r="B147" s="157" t="s">
        <v>1037</v>
      </c>
      <c r="C147" s="157" t="s">
        <v>351</v>
      </c>
      <c r="D147" s="158" t="s">
        <v>291</v>
      </c>
      <c r="E147" s="423">
        <v>139</v>
      </c>
      <c r="F147" s="419" t="s">
        <v>265</v>
      </c>
      <c r="G147" s="419" t="s">
        <v>251</v>
      </c>
      <c r="H147" s="419" t="s">
        <v>249</v>
      </c>
      <c r="I147" s="419" t="s">
        <v>248</v>
      </c>
      <c r="J147" s="419"/>
      <c r="K147" s="154" t="str">
        <f>IF(ISBLANK(E147),"ručně doplnit",IF(E147="-","není ve výkazech",IF(C147="Rozvaha",VLOOKUP(E147,'radky_R'!$A:$B,2,0),IF(C147="Výsledovka",VLOOKUP(E147,'radky_V'!A:M,2,0)))))</f>
        <v>Jiné závazky</v>
      </c>
      <c r="R147" s="154" t="str">
        <f>IF(ISBLANK(L147),"není alternativa",IF(L147="-","není ve výkazech",VLOOKUP(L147,'radky_R'!$A:$B,2,0)))</f>
        <v>není alternativa</v>
      </c>
      <c r="S147" s="157" t="s">
        <v>255</v>
      </c>
      <c r="T147" s="157" t="s">
        <v>877</v>
      </c>
    </row>
    <row r="148" spans="1:20" x14ac:dyDescent="0.3">
      <c r="A148" s="275">
        <v>372</v>
      </c>
      <c r="B148" s="157" t="s">
        <v>1037</v>
      </c>
      <c r="C148" s="157" t="s">
        <v>351</v>
      </c>
      <c r="D148" s="158" t="s">
        <v>291</v>
      </c>
      <c r="E148" s="423">
        <v>121</v>
      </c>
      <c r="F148" s="419" t="s">
        <v>265</v>
      </c>
      <c r="G148" s="419" t="s">
        <v>241</v>
      </c>
      <c r="H148" s="419" t="s">
        <v>252</v>
      </c>
      <c r="I148" s="419" t="s">
        <v>244</v>
      </c>
      <c r="J148" s="419"/>
      <c r="K148" s="154" t="str">
        <f>IF(ISBLANK(E148),"ručně doplnit",IF(E148="-","není ve výkazech",IF(C148="Rozvaha",VLOOKUP(E148,'radky_R'!$A:$B,2,0),IF(C148="Výsledovka",VLOOKUP(E148,'radky_V'!A:M,2,0)))))</f>
        <v>Jiné závazky</v>
      </c>
      <c r="R148" s="154" t="str">
        <f>IF(ISBLANK(L148),"není alternativa",IF(L148="-","není ve výkazech",VLOOKUP(L148,'radky_R'!$A:$B,2,0)))</f>
        <v>není alternativa</v>
      </c>
      <c r="S148" s="157" t="s">
        <v>255</v>
      </c>
      <c r="T148" s="157" t="s">
        <v>877</v>
      </c>
    </row>
    <row r="149" spans="1:20" x14ac:dyDescent="0.3">
      <c r="A149" s="275">
        <v>373</v>
      </c>
      <c r="B149" s="157" t="s">
        <v>102</v>
      </c>
      <c r="C149" s="157" t="s">
        <v>351</v>
      </c>
      <c r="D149" s="158" t="s">
        <v>318</v>
      </c>
      <c r="E149" s="423">
        <v>67</v>
      </c>
      <c r="F149" s="419" t="s">
        <v>265</v>
      </c>
      <c r="G149" s="419" t="s">
        <v>251</v>
      </c>
      <c r="H149" s="419" t="s">
        <v>243</v>
      </c>
      <c r="I149" s="419" t="s">
        <v>245</v>
      </c>
      <c r="J149" s="419" t="s">
        <v>247</v>
      </c>
      <c r="K149" s="154" t="str">
        <f>IF(ISBLANK(E149),"ručně doplnit",IF(E149="-","není ve výkazech",IF(C149="Rozvaha",VLOOKUP(E149,'radky_R'!$A:$B,2,0),IF(C149="Výsledovka",VLOOKUP(E149,'radky_V'!A:M,2,0)))))</f>
        <v>Jiné pohledávky</v>
      </c>
      <c r="L149" s="423">
        <v>139</v>
      </c>
      <c r="M149" s="419" t="s">
        <v>265</v>
      </c>
      <c r="N149" s="419" t="s">
        <v>251</v>
      </c>
      <c r="O149" s="419" t="s">
        <v>249</v>
      </c>
      <c r="P149" s="419" t="s">
        <v>248</v>
      </c>
      <c r="R149" s="154" t="str">
        <f>IF(ISBLANK(L149),"není alternativa",IF(L149="-","není ve výkazech",VLOOKUP(L149,'radky_R'!$A:$B,2,0)))</f>
        <v>Jiné závazky</v>
      </c>
      <c r="S149" s="157" t="s">
        <v>255</v>
      </c>
      <c r="T149" s="157" t="s">
        <v>877</v>
      </c>
    </row>
    <row r="150" spans="1:20" x14ac:dyDescent="0.3">
      <c r="A150" s="275">
        <v>373</v>
      </c>
      <c r="B150" s="157" t="s">
        <v>102</v>
      </c>
      <c r="C150" s="157" t="s">
        <v>351</v>
      </c>
      <c r="D150" s="158" t="s">
        <v>318</v>
      </c>
      <c r="E150" s="423">
        <v>56</v>
      </c>
      <c r="F150" s="419" t="s">
        <v>265</v>
      </c>
      <c r="G150" s="419" t="s">
        <v>251</v>
      </c>
      <c r="H150" s="419" t="s">
        <v>242</v>
      </c>
      <c r="I150" s="419" t="s">
        <v>246</v>
      </c>
      <c r="J150" s="419" t="s">
        <v>245</v>
      </c>
      <c r="K150" s="154" t="str">
        <f>IF(ISBLANK(E150),"ručně doplnit",IF(E150="-","není ve výkazech",IF(C150="Rozvaha",VLOOKUP(E150,'radky_R'!$A:$B,2,0),IF(C150="Výsledovka",VLOOKUP(E150,'radky_V'!A:M,2,0)))))</f>
        <v>Jiné pohledávky</v>
      </c>
      <c r="L150" s="423">
        <v>121</v>
      </c>
      <c r="M150" s="419" t="s">
        <v>265</v>
      </c>
      <c r="N150" s="419" t="s">
        <v>241</v>
      </c>
      <c r="O150" s="419" t="s">
        <v>252</v>
      </c>
      <c r="P150" s="419" t="s">
        <v>244</v>
      </c>
      <c r="R150" s="154" t="str">
        <f>IF(ISBLANK(L150),"není alternativa",IF(L150="-","není ve výkazech",VLOOKUP(L150,'radky_R'!$A:$B,2,0)))</f>
        <v>Jiné závazky</v>
      </c>
      <c r="S150" s="157" t="s">
        <v>255</v>
      </c>
      <c r="T150" s="157" t="s">
        <v>877</v>
      </c>
    </row>
    <row r="151" spans="1:20" x14ac:dyDescent="0.3">
      <c r="A151" s="275">
        <v>374</v>
      </c>
      <c r="B151" s="157" t="s">
        <v>103</v>
      </c>
      <c r="C151" s="157" t="s">
        <v>351</v>
      </c>
      <c r="D151" s="158" t="s">
        <v>279</v>
      </c>
      <c r="E151" s="423">
        <v>67</v>
      </c>
      <c r="F151" s="419" t="s">
        <v>265</v>
      </c>
      <c r="G151" s="419" t="s">
        <v>251</v>
      </c>
      <c r="H151" s="419" t="s">
        <v>243</v>
      </c>
      <c r="I151" s="419" t="s">
        <v>245</v>
      </c>
      <c r="J151" s="419" t="s">
        <v>247</v>
      </c>
      <c r="K151" s="154" t="str">
        <f>IF(ISBLANK(E151),"ručně doplnit",IF(E151="-","není ve výkazech",IF(C151="Rozvaha",VLOOKUP(E151,'radky_R'!$A:$B,2,0),IF(C151="Výsledovka",VLOOKUP(E151,'radky_V'!A:M,2,0)))))</f>
        <v>Jiné pohledávky</v>
      </c>
      <c r="R151" s="154" t="str">
        <f>IF(ISBLANK(L151),"není alternativa",IF(L151="-","není ve výkazech",VLOOKUP(L151,'radky_R'!$A:$B,2,0)))</f>
        <v>není alternativa</v>
      </c>
      <c r="S151" s="157" t="s">
        <v>255</v>
      </c>
      <c r="T151" s="157" t="s">
        <v>879</v>
      </c>
    </row>
    <row r="152" spans="1:20" x14ac:dyDescent="0.3">
      <c r="A152" s="275">
        <v>374</v>
      </c>
      <c r="B152" s="157" t="s">
        <v>103</v>
      </c>
      <c r="C152" s="157" t="s">
        <v>351</v>
      </c>
      <c r="D152" s="158" t="s">
        <v>279</v>
      </c>
      <c r="E152" s="423">
        <v>56</v>
      </c>
      <c r="F152" s="419" t="s">
        <v>265</v>
      </c>
      <c r="G152" s="419" t="s">
        <v>251</v>
      </c>
      <c r="H152" s="419" t="s">
        <v>242</v>
      </c>
      <c r="I152" s="419" t="s">
        <v>246</v>
      </c>
      <c r="J152" s="419" t="s">
        <v>245</v>
      </c>
      <c r="K152" s="154" t="str">
        <f>IF(ISBLANK(E152),"ručně doplnit",IF(E152="-","není ve výkazech",IF(C152="Rozvaha",VLOOKUP(E152,'radky_R'!$A:$B,2,0),IF(C152="Výsledovka",VLOOKUP(E152,'radky_V'!A:M,2,0)))))</f>
        <v>Jiné pohledávky</v>
      </c>
      <c r="R152" s="154" t="str">
        <f>IF(ISBLANK(L152),"není alternativa",IF(L152="-","není ve výkazech",VLOOKUP(L152,'radky_R'!$A:$B,2,0)))</f>
        <v>není alternativa</v>
      </c>
      <c r="S152" s="157" t="s">
        <v>255</v>
      </c>
      <c r="T152" s="157" t="s">
        <v>879</v>
      </c>
    </row>
    <row r="153" spans="1:20" x14ac:dyDescent="0.3">
      <c r="A153" s="275">
        <v>375</v>
      </c>
      <c r="B153" s="157" t="s">
        <v>104</v>
      </c>
      <c r="C153" s="157" t="s">
        <v>351</v>
      </c>
      <c r="D153" s="158" t="s">
        <v>279</v>
      </c>
      <c r="E153" s="423">
        <v>67</v>
      </c>
      <c r="F153" s="419" t="s">
        <v>265</v>
      </c>
      <c r="G153" s="419" t="s">
        <v>251</v>
      </c>
      <c r="H153" s="419" t="s">
        <v>243</v>
      </c>
      <c r="I153" s="419" t="s">
        <v>245</v>
      </c>
      <c r="J153" s="419" t="s">
        <v>247</v>
      </c>
      <c r="K153" s="154" t="str">
        <f>IF(ISBLANK(E153),"ručně doplnit",IF(E153="-","není ve výkazech",IF(C153="Rozvaha",VLOOKUP(E153,'radky_R'!$A:$B,2,0),IF(C153="Výsledovka",VLOOKUP(E153,'radky_V'!A:M,2,0)))))</f>
        <v>Jiné pohledávky</v>
      </c>
      <c r="R153" s="154" t="str">
        <f>IF(ISBLANK(L153),"není alternativa",IF(L153="-","není ve výkazech",VLOOKUP(L153,'radky_R'!$A:$B,2,0)))</f>
        <v>není alternativa</v>
      </c>
      <c r="S153" s="157" t="s">
        <v>255</v>
      </c>
      <c r="T153" s="157" t="s">
        <v>877</v>
      </c>
    </row>
    <row r="154" spans="1:20" x14ac:dyDescent="0.3">
      <c r="A154" s="275">
        <v>375</v>
      </c>
      <c r="B154" s="157" t="s">
        <v>104</v>
      </c>
      <c r="C154" s="157" t="s">
        <v>351</v>
      </c>
      <c r="D154" s="158" t="s">
        <v>279</v>
      </c>
      <c r="E154" s="423">
        <v>56</v>
      </c>
      <c r="F154" s="419" t="s">
        <v>265</v>
      </c>
      <c r="G154" s="419" t="s">
        <v>251</v>
      </c>
      <c r="H154" s="419" t="s">
        <v>242</v>
      </c>
      <c r="I154" s="419" t="s">
        <v>246</v>
      </c>
      <c r="J154" s="419" t="s">
        <v>245</v>
      </c>
      <c r="K154" s="154" t="str">
        <f>IF(ISBLANK(E154),"ručně doplnit",IF(E154="-","není ve výkazech",IF(C154="Rozvaha",VLOOKUP(E154,'radky_R'!$A:$B,2,0),IF(C154="Výsledovka",VLOOKUP(E154,'radky_V'!A:M,2,0)))))</f>
        <v>Jiné pohledávky</v>
      </c>
      <c r="R154" s="154" t="str">
        <f>IF(ISBLANK(L154),"není alternativa",IF(L154="-","není ve výkazech",VLOOKUP(L154,'radky_R'!$A:$B,2,0)))</f>
        <v>není alternativa</v>
      </c>
      <c r="S154" s="157" t="s">
        <v>255</v>
      </c>
      <c r="T154" s="157" t="s">
        <v>877</v>
      </c>
    </row>
    <row r="155" spans="1:20" x14ac:dyDescent="0.3">
      <c r="A155" s="275">
        <v>376</v>
      </c>
      <c r="B155" s="157" t="s">
        <v>105</v>
      </c>
      <c r="C155" s="157" t="s">
        <v>351</v>
      </c>
      <c r="D155" s="158" t="s">
        <v>279</v>
      </c>
      <c r="E155" s="423">
        <v>67</v>
      </c>
      <c r="F155" s="419" t="s">
        <v>265</v>
      </c>
      <c r="G155" s="419" t="s">
        <v>251</v>
      </c>
      <c r="H155" s="419" t="s">
        <v>243</v>
      </c>
      <c r="I155" s="419" t="s">
        <v>245</v>
      </c>
      <c r="J155" s="419" t="s">
        <v>247</v>
      </c>
      <c r="K155" s="154" t="str">
        <f>IF(ISBLANK(E155),"ručně doplnit",IF(E155="-","není ve výkazech",IF(C155="Rozvaha",VLOOKUP(E155,'radky_R'!$A:$B,2,0),IF(C155="Výsledovka",VLOOKUP(E155,'radky_V'!A:M,2,0)))))</f>
        <v>Jiné pohledávky</v>
      </c>
      <c r="R155" s="154" t="str">
        <f>IF(ISBLANK(L155),"není alternativa",IF(L155="-","není ve výkazech",VLOOKUP(L155,'radky_R'!$A:$B,2,0)))</f>
        <v>není alternativa</v>
      </c>
      <c r="S155" s="157" t="s">
        <v>255</v>
      </c>
      <c r="T155" s="157" t="s">
        <v>877</v>
      </c>
    </row>
    <row r="156" spans="1:20" x14ac:dyDescent="0.3">
      <c r="A156" s="275">
        <v>376</v>
      </c>
      <c r="B156" s="157" t="s">
        <v>105</v>
      </c>
      <c r="C156" s="157" t="s">
        <v>351</v>
      </c>
      <c r="D156" s="158" t="s">
        <v>279</v>
      </c>
      <c r="E156" s="423">
        <v>56</v>
      </c>
      <c r="F156" s="419" t="s">
        <v>265</v>
      </c>
      <c r="G156" s="419" t="s">
        <v>251</v>
      </c>
      <c r="H156" s="419" t="s">
        <v>242</v>
      </c>
      <c r="I156" s="419" t="s">
        <v>246</v>
      </c>
      <c r="J156" s="419" t="s">
        <v>245</v>
      </c>
      <c r="K156" s="154" t="str">
        <f>IF(ISBLANK(E156),"ručně doplnit",IF(E156="-","není ve výkazech",IF(C156="Rozvaha",VLOOKUP(E156,'radky_R'!$A:$B,2,0),IF(C156="Výsledovka",VLOOKUP(E156,'radky_V'!A:M,2,0)))))</f>
        <v>Jiné pohledávky</v>
      </c>
      <c r="R156" s="154" t="str">
        <f>IF(ISBLANK(L156),"není alternativa",IF(L156="-","není ve výkazech",VLOOKUP(L156,'radky_R'!$A:$B,2,0)))</f>
        <v>není alternativa</v>
      </c>
      <c r="S156" s="157" t="s">
        <v>255</v>
      </c>
      <c r="T156" s="157" t="s">
        <v>877</v>
      </c>
    </row>
    <row r="157" spans="1:20" x14ac:dyDescent="0.3">
      <c r="A157" s="275">
        <v>377</v>
      </c>
      <c r="B157" s="157" t="s">
        <v>106</v>
      </c>
      <c r="C157" s="157" t="s">
        <v>351</v>
      </c>
      <c r="D157" s="158" t="s">
        <v>291</v>
      </c>
      <c r="E157" s="423">
        <v>139</v>
      </c>
      <c r="F157" s="419" t="s">
        <v>265</v>
      </c>
      <c r="G157" s="419" t="s">
        <v>251</v>
      </c>
      <c r="H157" s="419" t="s">
        <v>249</v>
      </c>
      <c r="I157" s="419" t="s">
        <v>248</v>
      </c>
      <c r="J157" s="419"/>
      <c r="K157" s="154" t="str">
        <f>IF(ISBLANK(E157),"ručně doplnit",IF(E157="-","není ve výkazech",IF(C157="Rozvaha",VLOOKUP(E157,'radky_R'!$A:$B,2,0),IF(C157="Výsledovka",VLOOKUP(E157,'radky_V'!A:M,2,0)))))</f>
        <v>Jiné závazky</v>
      </c>
      <c r="R157" s="154" t="str">
        <f>IF(ISBLANK(L157),"není alternativa",IF(L157="-","není ve výkazech",VLOOKUP(L157,'radky_R'!$A:$B,2,0)))</f>
        <v>není alternativa</v>
      </c>
      <c r="S157" s="157" t="s">
        <v>255</v>
      </c>
      <c r="T157" s="157" t="s">
        <v>877</v>
      </c>
    </row>
    <row r="158" spans="1:20" x14ac:dyDescent="0.3">
      <c r="A158" s="275">
        <v>377</v>
      </c>
      <c r="B158" s="157" t="s">
        <v>106</v>
      </c>
      <c r="C158" s="157" t="s">
        <v>351</v>
      </c>
      <c r="D158" s="158" t="s">
        <v>291</v>
      </c>
      <c r="E158" s="423">
        <v>121</v>
      </c>
      <c r="F158" s="419" t="s">
        <v>265</v>
      </c>
      <c r="G158" s="419" t="s">
        <v>241</v>
      </c>
      <c r="H158" s="419" t="s">
        <v>252</v>
      </c>
      <c r="I158" s="419" t="s">
        <v>244</v>
      </c>
      <c r="J158" s="419"/>
      <c r="K158" s="154" t="str">
        <f>IF(ISBLANK(E158),"ručně doplnit",IF(E158="-","není ve výkazech",IF(C158="Rozvaha",VLOOKUP(E158,'radky_R'!$A:$B,2,0),IF(C158="Výsledovka",VLOOKUP(E158,'radky_V'!A:M,2,0)))))</f>
        <v>Jiné závazky</v>
      </c>
      <c r="R158" s="154" t="str">
        <f>IF(ISBLANK(L158),"není alternativa",IF(L158="-","není ve výkazech",VLOOKUP(L158,'radky_R'!$A:$B,2,0)))</f>
        <v>není alternativa</v>
      </c>
      <c r="S158" s="157" t="s">
        <v>255</v>
      </c>
      <c r="T158" s="157" t="s">
        <v>877</v>
      </c>
    </row>
    <row r="159" spans="1:20" x14ac:dyDescent="0.3">
      <c r="A159" s="275">
        <v>378</v>
      </c>
      <c r="B159" s="157" t="s">
        <v>107</v>
      </c>
      <c r="C159" s="157" t="s">
        <v>351</v>
      </c>
      <c r="D159" s="158" t="s">
        <v>279</v>
      </c>
      <c r="E159" s="423">
        <v>67</v>
      </c>
      <c r="F159" s="419" t="s">
        <v>265</v>
      </c>
      <c r="G159" s="419" t="s">
        <v>251</v>
      </c>
      <c r="H159" s="419" t="s">
        <v>243</v>
      </c>
      <c r="I159" s="419" t="s">
        <v>245</v>
      </c>
      <c r="J159" s="419" t="s">
        <v>247</v>
      </c>
      <c r="K159" s="154" t="str">
        <f>IF(ISBLANK(E159),"ručně doplnit",IF(E159="-","není ve výkazech",IF(C159="Rozvaha",VLOOKUP(E159,'radky_R'!$A:$B,2,0),IF(C159="Výsledovka",VLOOKUP(E159,'radky_V'!A:M,2,0)))))</f>
        <v>Jiné pohledávky</v>
      </c>
      <c r="R159" s="154" t="str">
        <f>IF(ISBLANK(L159),"není alternativa",IF(L159="-","není ve výkazech",VLOOKUP(L159,'radky_R'!$A:$B,2,0)))</f>
        <v>není alternativa</v>
      </c>
      <c r="S159" s="157" t="s">
        <v>255</v>
      </c>
      <c r="T159" s="157" t="s">
        <v>877</v>
      </c>
    </row>
    <row r="160" spans="1:20" x14ac:dyDescent="0.3">
      <c r="A160" s="275">
        <v>378</v>
      </c>
      <c r="B160" s="157" t="s">
        <v>107</v>
      </c>
      <c r="C160" s="157" t="s">
        <v>351</v>
      </c>
      <c r="D160" s="158" t="s">
        <v>279</v>
      </c>
      <c r="E160" s="423">
        <v>56</v>
      </c>
      <c r="F160" s="419" t="s">
        <v>265</v>
      </c>
      <c r="G160" s="419" t="s">
        <v>251</v>
      </c>
      <c r="H160" s="419" t="s">
        <v>242</v>
      </c>
      <c r="I160" s="419" t="s">
        <v>246</v>
      </c>
      <c r="J160" s="419" t="s">
        <v>245</v>
      </c>
      <c r="K160" s="154" t="str">
        <f>IF(ISBLANK(E160),"ručně doplnit",IF(E160="-","není ve výkazech",IF(C160="Rozvaha",VLOOKUP(E160,'radky_R'!$A:$B,2,0),IF(C160="Výsledovka",VLOOKUP(E160,'radky_V'!A:M,2,0)))))</f>
        <v>Jiné pohledávky</v>
      </c>
      <c r="R160" s="154" t="str">
        <f>IF(ISBLANK(L160),"není alternativa",IF(L160="-","není ve výkazech",VLOOKUP(L160,'radky_R'!$A:$B,2,0)))</f>
        <v>není alternativa</v>
      </c>
      <c r="S160" s="157" t="s">
        <v>255</v>
      </c>
      <c r="T160" s="157" t="s">
        <v>877</v>
      </c>
    </row>
    <row r="161" spans="1:20" x14ac:dyDescent="0.3">
      <c r="A161" s="275">
        <v>379</v>
      </c>
      <c r="B161" s="157" t="s">
        <v>1038</v>
      </c>
      <c r="C161" s="157" t="s">
        <v>351</v>
      </c>
      <c r="D161" s="158" t="s">
        <v>291</v>
      </c>
      <c r="E161" s="423">
        <v>139</v>
      </c>
      <c r="F161" s="419" t="s">
        <v>265</v>
      </c>
      <c r="G161" s="419" t="s">
        <v>251</v>
      </c>
      <c r="H161" s="419" t="s">
        <v>249</v>
      </c>
      <c r="I161" s="419" t="s">
        <v>248</v>
      </c>
      <c r="J161" s="419"/>
      <c r="K161" s="154" t="str">
        <f>IF(ISBLANK(E161),"ručně doplnit",IF(E161="-","není ve výkazech",IF(C161="Rozvaha",VLOOKUP(E161,'radky_R'!$A:$B,2,0),IF(C161="Výsledovka",VLOOKUP(E161,'radky_V'!A:M,2,0)))))</f>
        <v>Jiné závazky</v>
      </c>
      <c r="R161" s="154" t="str">
        <f>IF(ISBLANK(L161),"není alternativa",IF(L161="-","není ve výkazech",VLOOKUP(L161,'radky_R'!$A:$B,2,0)))</f>
        <v>není alternativa</v>
      </c>
      <c r="S161" s="157" t="s">
        <v>255</v>
      </c>
      <c r="T161" s="157" t="s">
        <v>877</v>
      </c>
    </row>
    <row r="162" spans="1:20" x14ac:dyDescent="0.3">
      <c r="A162" s="275">
        <v>379</v>
      </c>
      <c r="B162" s="157" t="s">
        <v>1038</v>
      </c>
      <c r="C162" s="157" t="s">
        <v>351</v>
      </c>
      <c r="D162" s="158" t="s">
        <v>291</v>
      </c>
      <c r="E162" s="423">
        <v>121</v>
      </c>
      <c r="F162" s="419" t="s">
        <v>265</v>
      </c>
      <c r="G162" s="419" t="s">
        <v>241</v>
      </c>
      <c r="H162" s="419" t="s">
        <v>252</v>
      </c>
      <c r="I162" s="419" t="s">
        <v>244</v>
      </c>
      <c r="J162" s="419"/>
      <c r="K162" s="154" t="str">
        <f>IF(ISBLANK(E162),"ručně doplnit",IF(E162="-","není ve výkazech",IF(C162="Rozvaha",VLOOKUP(E162,'radky_R'!$A:$B,2,0),IF(C162="Výsledovka",VLOOKUP(E162,'radky_V'!A:M,2,0)))))</f>
        <v>Jiné závazky</v>
      </c>
      <c r="R162" s="154" t="str">
        <f>IF(ISBLANK(L162),"není alternativa",IF(L162="-","není ve výkazech",VLOOKUP(L162,'radky_R'!$A:$B,2,0)))</f>
        <v>není alternativa</v>
      </c>
      <c r="S162" s="157" t="s">
        <v>255</v>
      </c>
      <c r="T162" s="157" t="s">
        <v>877</v>
      </c>
    </row>
    <row r="163" spans="1:20" x14ac:dyDescent="0.3">
      <c r="A163" s="275">
        <v>381</v>
      </c>
      <c r="B163" s="157" t="s">
        <v>109</v>
      </c>
      <c r="C163" s="157" t="s">
        <v>351</v>
      </c>
      <c r="D163" s="158" t="s">
        <v>279</v>
      </c>
      <c r="E163" s="423">
        <v>75</v>
      </c>
      <c r="F163" s="419" t="s">
        <v>274</v>
      </c>
      <c r="G163" s="419" t="s">
        <v>242</v>
      </c>
      <c r="H163" s="419"/>
      <c r="I163" s="419"/>
      <c r="J163" s="419"/>
      <c r="K163" s="154" t="str">
        <f>IF(ISBLANK(E163),"ručně doplnit",IF(E163="-","není ve výkazech",IF(C163="Rozvaha",VLOOKUP(E163,'radky_R'!$A:$B,2,0),IF(C163="Výsledovka",VLOOKUP(E163,'radky_V'!A:M,2,0)))))</f>
        <v xml:space="preserve">Náklady příštích období </v>
      </c>
      <c r="R163" s="154" t="str">
        <f>IF(ISBLANK(L163),"není alternativa",IF(L163="-","není ve výkazech",VLOOKUP(L163,'radky_R'!$A:$B,2,0)))</f>
        <v>není alternativa</v>
      </c>
      <c r="S163" s="157" t="s">
        <v>255</v>
      </c>
      <c r="T163" s="157" t="s">
        <v>876</v>
      </c>
    </row>
    <row r="164" spans="1:20" x14ac:dyDescent="0.3">
      <c r="A164" s="275">
        <v>382</v>
      </c>
      <c r="B164" s="157" t="s">
        <v>110</v>
      </c>
      <c r="C164" s="157" t="s">
        <v>351</v>
      </c>
      <c r="D164" s="158" t="s">
        <v>279</v>
      </c>
      <c r="E164" s="423">
        <v>76</v>
      </c>
      <c r="F164" s="419" t="s">
        <v>274</v>
      </c>
      <c r="G164" s="419" t="s">
        <v>243</v>
      </c>
      <c r="H164" s="419"/>
      <c r="I164" s="419"/>
      <c r="J164" s="419"/>
      <c r="K164" s="154" t="str">
        <f>IF(ISBLANK(E164),"ručně doplnit",IF(E164="-","není ve výkazech",IF(C164="Rozvaha",VLOOKUP(E164,'radky_R'!$A:$B,2,0),IF(C164="Výsledovka",VLOOKUP(E164,'radky_V'!A:M,2,0)))))</f>
        <v>Komplexní náklady příštích období</v>
      </c>
      <c r="R164" s="154" t="str">
        <f>IF(ISBLANK(L164),"není alternativa",IF(L164="-","není ve výkazech",VLOOKUP(L164,'radky_R'!$A:$B,2,0)))</f>
        <v>není alternativa</v>
      </c>
      <c r="S164" s="157" t="s">
        <v>255</v>
      </c>
      <c r="T164" s="157" t="s">
        <v>880</v>
      </c>
    </row>
    <row r="165" spans="1:20" x14ac:dyDescent="0.3">
      <c r="A165" s="275">
        <v>383</v>
      </c>
      <c r="B165" s="157" t="s">
        <v>111</v>
      </c>
      <c r="C165" s="157" t="s">
        <v>351</v>
      </c>
      <c r="D165" s="158" t="s">
        <v>291</v>
      </c>
      <c r="E165" s="423">
        <v>141</v>
      </c>
      <c r="F165" s="419" t="s">
        <v>274</v>
      </c>
      <c r="G165" s="419" t="s">
        <v>242</v>
      </c>
      <c r="H165" s="419"/>
      <c r="I165" s="419"/>
      <c r="J165" s="419"/>
      <c r="K165" s="154" t="str">
        <f>IF(ISBLANK(E165),"ručně doplnit",IF(E165="-","není ve výkazech",IF(C165="Rozvaha",VLOOKUP(E165,'radky_R'!$A:$B,2,0),IF(C165="Výsledovka",VLOOKUP(E165,'radky_V'!A:M,2,0)))))</f>
        <v>Výdaje příštích období</v>
      </c>
      <c r="R165" s="154" t="str">
        <f>IF(ISBLANK(L165),"není alternativa",IF(L165="-","není ve výkazech",VLOOKUP(L165,'radky_R'!$A:$B,2,0)))</f>
        <v>není alternativa</v>
      </c>
      <c r="S165" s="157" t="s">
        <v>255</v>
      </c>
      <c r="T165" s="157" t="s">
        <v>880</v>
      </c>
    </row>
    <row r="166" spans="1:20" x14ac:dyDescent="0.3">
      <c r="A166" s="275">
        <v>384</v>
      </c>
      <c r="B166" s="157" t="s">
        <v>112</v>
      </c>
      <c r="C166" s="157" t="s">
        <v>351</v>
      </c>
      <c r="D166" s="158" t="s">
        <v>291</v>
      </c>
      <c r="E166" s="423">
        <v>142</v>
      </c>
      <c r="F166" s="419" t="s">
        <v>274</v>
      </c>
      <c r="G166" s="419" t="s">
        <v>243</v>
      </c>
      <c r="H166" s="419"/>
      <c r="I166" s="419"/>
      <c r="J166" s="419"/>
      <c r="K166" s="154" t="str">
        <f>IF(ISBLANK(E166),"ručně doplnit",IF(E166="-","není ve výkazech",IF(C166="Rozvaha",VLOOKUP(E166,'radky_R'!$A:$B,2,0),IF(C166="Výsledovka",VLOOKUP(E166,'radky_V'!A:M,2,0)))))</f>
        <v xml:space="preserve">Výnosy příštích období </v>
      </c>
      <c r="R166" s="154" t="str">
        <f>IF(ISBLANK(L166),"není alternativa",IF(L166="-","není ve výkazech",VLOOKUP(L166,'radky_R'!$A:$B,2,0)))</f>
        <v>není alternativa</v>
      </c>
      <c r="S166" s="157" t="s">
        <v>255</v>
      </c>
      <c r="T166" s="157" t="s">
        <v>879</v>
      </c>
    </row>
    <row r="167" spans="1:20" x14ac:dyDescent="0.3">
      <c r="A167" s="275">
        <v>385</v>
      </c>
      <c r="B167" s="157" t="s">
        <v>113</v>
      </c>
      <c r="C167" s="157" t="s">
        <v>351</v>
      </c>
      <c r="D167" s="158" t="s">
        <v>279</v>
      </c>
      <c r="E167" s="423">
        <v>77</v>
      </c>
      <c r="F167" s="419" t="s">
        <v>274</v>
      </c>
      <c r="G167" s="419" t="s">
        <v>244</v>
      </c>
      <c r="H167" s="419"/>
      <c r="I167" s="419"/>
      <c r="J167" s="419"/>
      <c r="K167" s="154" t="str">
        <f>IF(ISBLANK(E167),"ručně doplnit",IF(E167="-","není ve výkazech",IF(C167="Rozvaha",VLOOKUP(E167,'radky_R'!$A:$B,2,0),IF(C167="Výsledovka",VLOOKUP(E167,'radky_V'!A:M,2,0)))))</f>
        <v>Příjmy příštích období</v>
      </c>
      <c r="R167" s="154" t="str">
        <f>IF(ISBLANK(L167),"není alternativa",IF(L167="-","není ve výkazech",VLOOKUP(L167,'radky_R'!$A:$B,2,0)))</f>
        <v>není alternativa</v>
      </c>
      <c r="S167" s="157" t="s">
        <v>255</v>
      </c>
      <c r="T167" s="157" t="s">
        <v>879</v>
      </c>
    </row>
    <row r="168" spans="1:20" x14ac:dyDescent="0.3">
      <c r="A168" s="275">
        <v>388</v>
      </c>
      <c r="B168" s="157" t="s">
        <v>114</v>
      </c>
      <c r="C168" s="157" t="s">
        <v>351</v>
      </c>
      <c r="D168" s="158" t="s">
        <v>279</v>
      </c>
      <c r="E168" s="423">
        <v>66</v>
      </c>
      <c r="F168" s="419" t="s">
        <v>265</v>
      </c>
      <c r="G168" s="419" t="s">
        <v>251</v>
      </c>
      <c r="H168" s="419" t="s">
        <v>243</v>
      </c>
      <c r="I168" s="419" t="s">
        <v>245</v>
      </c>
      <c r="J168" s="419" t="s">
        <v>246</v>
      </c>
      <c r="K168" s="154" t="str">
        <f>IF(ISBLANK(E168),"ručně doplnit",IF(E168="-","není ve výkazech",IF(C168="Rozvaha",VLOOKUP(E168,'radky_R'!$A:$B,2,0),IF(C168="Výsledovka",VLOOKUP(E168,'radky_V'!A:M,2,0)))))</f>
        <v>Dohadné účty aktivní</v>
      </c>
      <c r="R168" s="154" t="str">
        <f>IF(ISBLANK(L168),"není alternativa",IF(L168="-","není ve výkazech",VLOOKUP(L168,'radky_R'!$A:$B,2,0)))</f>
        <v>není alternativa</v>
      </c>
      <c r="S168" s="157" t="s">
        <v>255</v>
      </c>
      <c r="T168" s="157" t="s">
        <v>879</v>
      </c>
    </row>
    <row r="169" spans="1:20" x14ac:dyDescent="0.3">
      <c r="A169" s="275">
        <v>388</v>
      </c>
      <c r="B169" s="157" t="s">
        <v>114</v>
      </c>
      <c r="C169" s="157" t="s">
        <v>351</v>
      </c>
      <c r="D169" s="158" t="s">
        <v>279</v>
      </c>
      <c r="E169" s="423">
        <v>55</v>
      </c>
      <c r="F169" s="419" t="s">
        <v>265</v>
      </c>
      <c r="G169" s="419" t="s">
        <v>251</v>
      </c>
      <c r="H169" s="419" t="s">
        <v>242</v>
      </c>
      <c r="I169" s="419" t="s">
        <v>246</v>
      </c>
      <c r="J169" s="419" t="s">
        <v>244</v>
      </c>
      <c r="K169" s="154" t="str">
        <f>IF(ISBLANK(E169),"ručně doplnit",IF(E169="-","není ve výkazech",IF(C169="Rozvaha",VLOOKUP(E169,'radky_R'!$A:$B,2,0),IF(C169="Výsledovka",VLOOKUP(E169,'radky_V'!A:M,2,0)))))</f>
        <v>Dohadné účty aktivní</v>
      </c>
      <c r="R169" s="154" t="str">
        <f>IF(ISBLANK(L169),"není alternativa",IF(L169="-","není ve výkazech",VLOOKUP(L169,'radky_R'!$A:$B,2,0)))</f>
        <v>není alternativa</v>
      </c>
      <c r="S169" s="157" t="s">
        <v>255</v>
      </c>
      <c r="T169" s="157" t="s">
        <v>879</v>
      </c>
    </row>
    <row r="170" spans="1:20" x14ac:dyDescent="0.3">
      <c r="A170" s="275">
        <v>389</v>
      </c>
      <c r="B170" s="157" t="s">
        <v>115</v>
      </c>
      <c r="C170" s="157" t="s">
        <v>351</v>
      </c>
      <c r="D170" s="158" t="s">
        <v>291</v>
      </c>
      <c r="E170" s="423">
        <v>138</v>
      </c>
      <c r="F170" s="419" t="s">
        <v>265</v>
      </c>
      <c r="G170" s="419" t="s">
        <v>251</v>
      </c>
      <c r="H170" s="419" t="s">
        <v>249</v>
      </c>
      <c r="I170" s="419" t="s">
        <v>247</v>
      </c>
      <c r="J170" s="419"/>
      <c r="K170" s="154" t="str">
        <f>IF(ISBLANK(E170),"ručně doplnit",IF(E170="-","není ve výkazech",IF(C170="Rozvaha",VLOOKUP(E170,'radky_R'!$A:$B,2,0),IF(C170="Výsledovka",VLOOKUP(E170,'radky_V'!A:M,2,0)))))</f>
        <v xml:space="preserve">Dohadné účty pasivní </v>
      </c>
      <c r="R170" s="154" t="str">
        <f>IF(ISBLANK(L170),"není alternativa",IF(L170="-","není ve výkazech",VLOOKUP(L170,'radky_R'!$A:$B,2,0)))</f>
        <v>není alternativa</v>
      </c>
      <c r="S170" s="157" t="s">
        <v>255</v>
      </c>
      <c r="T170" s="157" t="s">
        <v>880</v>
      </c>
    </row>
    <row r="171" spans="1:20" x14ac:dyDescent="0.3">
      <c r="A171" s="275">
        <v>389</v>
      </c>
      <c r="B171" s="157" t="s">
        <v>115</v>
      </c>
      <c r="C171" s="157" t="s">
        <v>351</v>
      </c>
      <c r="D171" s="158" t="s">
        <v>291</v>
      </c>
      <c r="E171" s="423">
        <v>120</v>
      </c>
      <c r="F171" s="419" t="s">
        <v>265</v>
      </c>
      <c r="G171" s="419" t="s">
        <v>241</v>
      </c>
      <c r="H171" s="419" t="s">
        <v>252</v>
      </c>
      <c r="I171" s="419" t="s">
        <v>243</v>
      </c>
      <c r="J171" s="419"/>
      <c r="K171" s="154" t="str">
        <f>IF(ISBLANK(E171),"ručně doplnit",IF(E171="-","není ve výkazech",IF(C171="Rozvaha",VLOOKUP(E171,'radky_R'!$A:$B,2,0),IF(C171="Výsledovka",VLOOKUP(E171,'radky_V'!A:M,2,0)))))</f>
        <v>Dohadné účty pasívní</v>
      </c>
      <c r="R171" s="154" t="str">
        <f>IF(ISBLANK(L171),"není alternativa",IF(L171="-","není ve výkazech",VLOOKUP(L171,'radky_R'!$A:$B,2,0)))</f>
        <v>není alternativa</v>
      </c>
      <c r="S171" s="157" t="s">
        <v>255</v>
      </c>
      <c r="T171" s="157" t="s">
        <v>880</v>
      </c>
    </row>
    <row r="172" spans="1:20" x14ac:dyDescent="0.3">
      <c r="A172" s="275">
        <v>391</v>
      </c>
      <c r="B172" s="157" t="s">
        <v>116</v>
      </c>
      <c r="C172" s="157" t="s">
        <v>351</v>
      </c>
      <c r="D172" s="158" t="s">
        <v>279</v>
      </c>
      <c r="E172" s="423">
        <v>58</v>
      </c>
      <c r="F172" s="419" t="s">
        <v>265</v>
      </c>
      <c r="G172" s="419" t="s">
        <v>251</v>
      </c>
      <c r="H172" s="419" t="s">
        <v>243</v>
      </c>
      <c r="I172" s="419" t="s">
        <v>242</v>
      </c>
      <c r="J172" s="419"/>
      <c r="K172" s="154" t="str">
        <f>IF(ISBLANK(E172),"ručně doplnit",IF(E172="-","není ve výkazech",IF(C172="Rozvaha",VLOOKUP(E172,'radky_R'!$A:$B,2,0),IF(C172="Výsledovka",VLOOKUP(E172,'radky_V'!A:M,2,0)))))</f>
        <v>Pohledávky z obchodních vztahů</v>
      </c>
      <c r="R172" s="154" t="str">
        <f>IF(ISBLANK(L172),"není alternativa",IF(L172="-","není ve výkazech",VLOOKUP(L172,'radky_R'!$A:$B,2,0)))</f>
        <v>není alternativa</v>
      </c>
      <c r="S172" s="157" t="s">
        <v>257</v>
      </c>
      <c r="T172" s="157" t="s">
        <v>879</v>
      </c>
    </row>
    <row r="173" spans="1:20" x14ac:dyDescent="0.3">
      <c r="A173" s="275">
        <v>391</v>
      </c>
      <c r="B173" s="157" t="s">
        <v>116</v>
      </c>
      <c r="C173" s="157" t="s">
        <v>351</v>
      </c>
      <c r="D173" s="158" t="s">
        <v>279</v>
      </c>
      <c r="E173" s="423">
        <v>59</v>
      </c>
      <c r="F173" s="419" t="s">
        <v>265</v>
      </c>
      <c r="G173" s="419" t="s">
        <v>251</v>
      </c>
      <c r="H173" s="419" t="s">
        <v>243</v>
      </c>
      <c r="I173" s="419" t="s">
        <v>243</v>
      </c>
      <c r="J173" s="419"/>
      <c r="K173" s="154" t="str">
        <f>IF(ISBLANK(E173),"ručně doplnit",IF(E173="-","není ve výkazech",IF(C173="Rozvaha",VLOOKUP(E173,'radky_R'!$A:$B,2,0),IF(C173="Výsledovka",VLOOKUP(E173,'radky_V'!A:M,2,0)))))</f>
        <v>Pohledávky - ovládaná nebo ovládající osoba</v>
      </c>
      <c r="R173" s="154" t="str">
        <f>IF(ISBLANK(L173),"není alternativa",IF(L173="-","není ve výkazech",VLOOKUP(L173,'radky_R'!$A:$B,2,0)))</f>
        <v>není alternativa</v>
      </c>
      <c r="S173" s="157" t="s">
        <v>257</v>
      </c>
      <c r="T173" s="157" t="s">
        <v>879</v>
      </c>
    </row>
    <row r="174" spans="1:20" x14ac:dyDescent="0.3">
      <c r="A174" s="275">
        <v>391</v>
      </c>
      <c r="B174" s="157" t="s">
        <v>116</v>
      </c>
      <c r="C174" s="157" t="s">
        <v>351</v>
      </c>
      <c r="D174" s="158" t="s">
        <v>279</v>
      </c>
      <c r="E174" s="423">
        <v>60</v>
      </c>
      <c r="F174" s="419" t="s">
        <v>265</v>
      </c>
      <c r="G174" s="419" t="s">
        <v>251</v>
      </c>
      <c r="H174" s="419" t="s">
        <v>243</v>
      </c>
      <c r="I174" s="419" t="s">
        <v>244</v>
      </c>
      <c r="J174" s="419"/>
      <c r="K174" s="154" t="str">
        <f>IF(ISBLANK(E174),"ručně doplnit",IF(E174="-","není ve výkazech",IF(C174="Rozvaha",VLOOKUP(E174,'radky_R'!$A:$B,2,0),IF(C174="Výsledovka",VLOOKUP(E174,'radky_V'!A:M,2,0)))))</f>
        <v>Pohledávky - podstatný vliv</v>
      </c>
      <c r="R174" s="154" t="str">
        <f>IF(ISBLANK(L174),"není alternativa",IF(L174="-","není ve výkazech",VLOOKUP(L174,'radky_R'!$A:$B,2,0)))</f>
        <v>není alternativa</v>
      </c>
      <c r="S174" s="157" t="s">
        <v>257</v>
      </c>
      <c r="T174" s="157" t="s">
        <v>879</v>
      </c>
    </row>
    <row r="175" spans="1:20" x14ac:dyDescent="0.3">
      <c r="A175" s="275">
        <v>391</v>
      </c>
      <c r="B175" s="157" t="s">
        <v>116</v>
      </c>
      <c r="C175" s="157" t="s">
        <v>351</v>
      </c>
      <c r="D175" s="158" t="s">
        <v>279</v>
      </c>
      <c r="E175" s="423">
        <v>62</v>
      </c>
      <c r="F175" s="419" t="s">
        <v>265</v>
      </c>
      <c r="G175" s="419" t="s">
        <v>251</v>
      </c>
      <c r="H175" s="419" t="s">
        <v>243</v>
      </c>
      <c r="I175" s="419" t="s">
        <v>245</v>
      </c>
      <c r="J175" s="419" t="s">
        <v>242</v>
      </c>
      <c r="K175" s="154" t="str">
        <f>IF(ISBLANK(E175),"ručně doplnit",IF(E175="-","není ve výkazech",IF(C175="Rozvaha",VLOOKUP(E175,'radky_R'!$A:$B,2,0),IF(C175="Výsledovka",VLOOKUP(E175,'radky_V'!A:M,2,0)))))</f>
        <v>Pohledávky za společníky</v>
      </c>
      <c r="R175" s="154" t="str">
        <f>IF(ISBLANK(L175),"není alternativa",IF(L175="-","není ve výkazech",VLOOKUP(L175,'radky_R'!$A:$B,2,0)))</f>
        <v>není alternativa</v>
      </c>
      <c r="S175" s="157" t="s">
        <v>257</v>
      </c>
      <c r="T175" s="157" t="s">
        <v>879</v>
      </c>
    </row>
    <row r="176" spans="1:20" x14ac:dyDescent="0.3">
      <c r="A176" s="275">
        <v>391</v>
      </c>
      <c r="B176" s="157" t="s">
        <v>116</v>
      </c>
      <c r="C176" s="157" t="s">
        <v>351</v>
      </c>
      <c r="D176" s="158" t="s">
        <v>279</v>
      </c>
      <c r="E176" s="423">
        <v>63</v>
      </c>
      <c r="F176" s="419" t="s">
        <v>265</v>
      </c>
      <c r="G176" s="419" t="s">
        <v>251</v>
      </c>
      <c r="H176" s="419" t="s">
        <v>243</v>
      </c>
      <c r="I176" s="419" t="s">
        <v>245</v>
      </c>
      <c r="J176" s="419" t="s">
        <v>243</v>
      </c>
      <c r="K176" s="154" t="str">
        <f>IF(ISBLANK(E176),"ručně doplnit",IF(E176="-","není ve výkazech",IF(C176="Rozvaha",VLOOKUP(E176,'radky_R'!$A:$B,2,0),IF(C176="Výsledovka",VLOOKUP(E176,'radky_V'!A:M,2,0)))))</f>
        <v>Sociální zabezpečení a zdravotní pojištění</v>
      </c>
      <c r="R176" s="154" t="str">
        <f>IF(ISBLANK(L176),"není alternativa",IF(L176="-","není ve výkazech",VLOOKUP(L176,'radky_R'!$A:$B,2,0)))</f>
        <v>není alternativa</v>
      </c>
      <c r="S176" s="157" t="s">
        <v>257</v>
      </c>
      <c r="T176" s="157" t="s">
        <v>879</v>
      </c>
    </row>
    <row r="177" spans="1:20" x14ac:dyDescent="0.3">
      <c r="A177" s="275">
        <v>391</v>
      </c>
      <c r="B177" s="157" t="s">
        <v>116</v>
      </c>
      <c r="C177" s="157" t="s">
        <v>351</v>
      </c>
      <c r="D177" s="158" t="s">
        <v>279</v>
      </c>
      <c r="E177" s="423">
        <v>64</v>
      </c>
      <c r="F177" s="419" t="s">
        <v>265</v>
      </c>
      <c r="G177" s="419" t="s">
        <v>251</v>
      </c>
      <c r="H177" s="419" t="s">
        <v>243</v>
      </c>
      <c r="I177" s="419" t="s">
        <v>245</v>
      </c>
      <c r="J177" s="419" t="s">
        <v>244</v>
      </c>
      <c r="K177" s="154" t="str">
        <f>IF(ISBLANK(E177),"ručně doplnit",IF(E177="-","není ve výkazech",IF(C177="Rozvaha",VLOOKUP(E177,'radky_R'!$A:$B,2,0),IF(C177="Výsledovka",VLOOKUP(E177,'radky_V'!A:M,2,0)))))</f>
        <v>Stát - daňové pohledávky</v>
      </c>
      <c r="R177" s="154" t="str">
        <f>IF(ISBLANK(L177),"není alternativa",IF(L177="-","není ve výkazech",VLOOKUP(L177,'radky_R'!$A:$B,2,0)))</f>
        <v>není alternativa</v>
      </c>
      <c r="S177" s="157" t="s">
        <v>257</v>
      </c>
      <c r="T177" s="157" t="s">
        <v>879</v>
      </c>
    </row>
    <row r="178" spans="1:20" x14ac:dyDescent="0.3">
      <c r="A178" s="275">
        <v>391</v>
      </c>
      <c r="B178" s="157" t="s">
        <v>116</v>
      </c>
      <c r="C178" s="157" t="s">
        <v>351</v>
      </c>
      <c r="D178" s="158" t="s">
        <v>279</v>
      </c>
      <c r="E178" s="423">
        <v>65</v>
      </c>
      <c r="F178" s="419" t="s">
        <v>265</v>
      </c>
      <c r="G178" s="419" t="s">
        <v>251</v>
      </c>
      <c r="H178" s="419" t="s">
        <v>243</v>
      </c>
      <c r="I178" s="419" t="s">
        <v>245</v>
      </c>
      <c r="J178" s="419" t="s">
        <v>245</v>
      </c>
      <c r="K178" s="154" t="str">
        <f>IF(ISBLANK(E178),"ručně doplnit",IF(E178="-","není ve výkazech",IF(C178="Rozvaha",VLOOKUP(E178,'radky_R'!$A:$B,2,0),IF(C178="Výsledovka",VLOOKUP(E178,'radky_V'!A:M,2,0)))))</f>
        <v>Krátkodobé poskytnuté zálohy</v>
      </c>
      <c r="R178" s="154" t="str">
        <f>IF(ISBLANK(L178),"není alternativa",IF(L178="-","není ve výkazech",VLOOKUP(L178,'radky_R'!$A:$B,2,0)))</f>
        <v>není alternativa</v>
      </c>
      <c r="S178" s="157" t="s">
        <v>257</v>
      </c>
      <c r="T178" s="157" t="s">
        <v>879</v>
      </c>
    </row>
    <row r="179" spans="1:20" x14ac:dyDescent="0.3">
      <c r="A179" s="275">
        <v>391</v>
      </c>
      <c r="B179" s="157" t="s">
        <v>116</v>
      </c>
      <c r="C179" s="157" t="s">
        <v>351</v>
      </c>
      <c r="D179" s="158" t="s">
        <v>279</v>
      </c>
      <c r="E179" s="423">
        <v>67</v>
      </c>
      <c r="F179" s="419" t="s">
        <v>265</v>
      </c>
      <c r="G179" s="419" t="s">
        <v>251</v>
      </c>
      <c r="H179" s="419" t="s">
        <v>243</v>
      </c>
      <c r="I179" s="419" t="s">
        <v>245</v>
      </c>
      <c r="J179" s="419" t="s">
        <v>247</v>
      </c>
      <c r="K179" s="154" t="str">
        <f>IF(ISBLANK(E179),"ručně doplnit",IF(E179="-","není ve výkazech",IF(C179="Rozvaha",VLOOKUP(E179,'radky_R'!$A:$B,2,0),IF(C179="Výsledovka",VLOOKUP(E179,'radky_V'!A:M,2,0)))))</f>
        <v>Jiné pohledávky</v>
      </c>
      <c r="R179" s="154" t="str">
        <f>IF(ISBLANK(L179),"není alternativa",IF(L179="-","není ve výkazech",VLOOKUP(L179,'radky_R'!$A:$B,2,0)))</f>
        <v>není alternativa</v>
      </c>
      <c r="S179" s="157" t="s">
        <v>257</v>
      </c>
      <c r="T179" s="157" t="s">
        <v>879</v>
      </c>
    </row>
    <row r="180" spans="1:20" x14ac:dyDescent="0.3">
      <c r="A180" s="275">
        <v>391</v>
      </c>
      <c r="B180" s="157" t="s">
        <v>116</v>
      </c>
      <c r="C180" s="157" t="s">
        <v>351</v>
      </c>
      <c r="D180" s="158" t="s">
        <v>279</v>
      </c>
      <c r="E180" s="423">
        <v>48</v>
      </c>
      <c r="F180" s="419" t="s">
        <v>265</v>
      </c>
      <c r="G180" s="419" t="s">
        <v>251</v>
      </c>
      <c r="H180" s="419" t="s">
        <v>242</v>
      </c>
      <c r="I180" s="419" t="s">
        <v>242</v>
      </c>
      <c r="J180" s="419"/>
      <c r="K180" s="154" t="str">
        <f>IF(ISBLANK(E180),"ručně doplnit",IF(E180="-","není ve výkazech",IF(C180="Rozvaha",VLOOKUP(E180,'radky_R'!$A:$B,2,0),IF(C180="Výsledovka",VLOOKUP(E180,'radky_V'!A:M,2,0)))))</f>
        <v>Pohledávky z obchodních vztahů</v>
      </c>
      <c r="R180" s="154" t="str">
        <f>IF(ISBLANK(L180),"není alternativa",IF(L180="-","není ve výkazech",VLOOKUP(L180,'radky_R'!$A:$B,2,0)))</f>
        <v>není alternativa</v>
      </c>
      <c r="S180" s="157" t="s">
        <v>257</v>
      </c>
      <c r="T180" s="157" t="s">
        <v>879</v>
      </c>
    </row>
    <row r="181" spans="1:20" x14ac:dyDescent="0.3">
      <c r="A181" s="275">
        <v>391</v>
      </c>
      <c r="B181" s="157" t="s">
        <v>116</v>
      </c>
      <c r="C181" s="157" t="s">
        <v>351</v>
      </c>
      <c r="D181" s="158" t="s">
        <v>279</v>
      </c>
      <c r="E181" s="423">
        <v>49</v>
      </c>
      <c r="F181" s="419" t="s">
        <v>265</v>
      </c>
      <c r="G181" s="419" t="s">
        <v>251</v>
      </c>
      <c r="H181" s="419" t="s">
        <v>242</v>
      </c>
      <c r="I181" s="419" t="s">
        <v>243</v>
      </c>
      <c r="J181" s="419"/>
      <c r="K181" s="154" t="str">
        <f>IF(ISBLANK(E181),"ručně doplnit",IF(E181="-","není ve výkazech",IF(C181="Rozvaha",VLOOKUP(E181,'radky_R'!$A:$B,2,0),IF(C181="Výsledovka",VLOOKUP(E181,'radky_V'!A:M,2,0)))))</f>
        <v>Pohledávky - ovládaná nebo ovládající osoba</v>
      </c>
      <c r="R181" s="154" t="str">
        <f>IF(ISBLANK(L181),"není alternativa",IF(L181="-","není ve výkazech",VLOOKUP(L181,'radky_R'!$A:$B,2,0)))</f>
        <v>není alternativa</v>
      </c>
      <c r="S181" s="157" t="s">
        <v>257</v>
      </c>
      <c r="T181" s="157" t="s">
        <v>879</v>
      </c>
    </row>
    <row r="182" spans="1:20" x14ac:dyDescent="0.3">
      <c r="A182" s="275">
        <v>391</v>
      </c>
      <c r="B182" s="157" t="s">
        <v>116</v>
      </c>
      <c r="C182" s="157" t="s">
        <v>351</v>
      </c>
      <c r="D182" s="158" t="s">
        <v>279</v>
      </c>
      <c r="E182" s="423">
        <v>50</v>
      </c>
      <c r="F182" s="419" t="s">
        <v>265</v>
      </c>
      <c r="G182" s="419" t="s">
        <v>251</v>
      </c>
      <c r="H182" s="419" t="s">
        <v>242</v>
      </c>
      <c r="I182" s="419" t="s">
        <v>244</v>
      </c>
      <c r="J182" s="419"/>
      <c r="K182" s="154" t="str">
        <f>IF(ISBLANK(E182),"ručně doplnit",IF(E182="-","není ve výkazech",IF(C182="Rozvaha",VLOOKUP(E182,'radky_R'!$A:$B,2,0),IF(C182="Výsledovka",VLOOKUP(E182,'radky_V'!A:M,2,0)))))</f>
        <v>Pohledávky - podstatný vliv</v>
      </c>
      <c r="R182" s="154" t="str">
        <f>IF(ISBLANK(L182),"není alternativa",IF(L182="-","není ve výkazech",VLOOKUP(L182,'radky_R'!$A:$B,2,0)))</f>
        <v>není alternativa</v>
      </c>
      <c r="S182" s="157" t="s">
        <v>257</v>
      </c>
      <c r="T182" s="157" t="s">
        <v>879</v>
      </c>
    </row>
    <row r="183" spans="1:20" x14ac:dyDescent="0.3">
      <c r="A183" s="275">
        <v>391</v>
      </c>
      <c r="B183" s="157" t="s">
        <v>116</v>
      </c>
      <c r="C183" s="157" t="s">
        <v>351</v>
      </c>
      <c r="D183" s="158" t="s">
        <v>279</v>
      </c>
      <c r="E183" s="423">
        <v>53</v>
      </c>
      <c r="F183" s="419" t="s">
        <v>265</v>
      </c>
      <c r="G183" s="419" t="s">
        <v>251</v>
      </c>
      <c r="H183" s="419" t="s">
        <v>242</v>
      </c>
      <c r="I183" s="419" t="s">
        <v>246</v>
      </c>
      <c r="J183" s="419" t="s">
        <v>242</v>
      </c>
      <c r="K183" s="154" t="str">
        <f>IF(ISBLANK(E183),"ručně doplnit",IF(E183="-","není ve výkazech",IF(C183="Rozvaha",VLOOKUP(E183,'radky_R'!$A:$B,2,0),IF(C183="Výsledovka",VLOOKUP(E183,'radky_V'!A:M,2,0)))))</f>
        <v>Pohledávky za společníky</v>
      </c>
      <c r="R183" s="154" t="str">
        <f>IF(ISBLANK(L183),"není alternativa",IF(L183="-","není ve výkazech",VLOOKUP(L183,'radky_R'!$A:$B,2,0)))</f>
        <v>není alternativa</v>
      </c>
      <c r="S183" s="157" t="s">
        <v>257</v>
      </c>
      <c r="T183" s="157" t="s">
        <v>879</v>
      </c>
    </row>
    <row r="184" spans="1:20" x14ac:dyDescent="0.3">
      <c r="A184" s="275">
        <v>391</v>
      </c>
      <c r="B184" s="157" t="s">
        <v>116</v>
      </c>
      <c r="C184" s="157" t="s">
        <v>351</v>
      </c>
      <c r="D184" s="158" t="s">
        <v>279</v>
      </c>
      <c r="E184" s="423">
        <v>54</v>
      </c>
      <c r="F184" s="419" t="s">
        <v>265</v>
      </c>
      <c r="G184" s="419" t="s">
        <v>251</v>
      </c>
      <c r="H184" s="419" t="s">
        <v>242</v>
      </c>
      <c r="I184" s="419" t="s">
        <v>246</v>
      </c>
      <c r="J184" s="419" t="s">
        <v>243</v>
      </c>
      <c r="K184" s="154" t="str">
        <f>IF(ISBLANK(E184),"ručně doplnit",IF(E184="-","není ve výkazech",IF(C184="Rozvaha",VLOOKUP(E184,'radky_R'!$A:$B,2,0),IF(C184="Výsledovka",VLOOKUP(E184,'radky_V'!A:M,2,0)))))</f>
        <v>Dlouhodobé poskytnuté zálohy</v>
      </c>
      <c r="R184" s="154" t="str">
        <f>IF(ISBLANK(L184),"není alternativa",IF(L184="-","není ve výkazech",VLOOKUP(L184,'radky_R'!$A:$B,2,0)))</f>
        <v>není alternativa</v>
      </c>
      <c r="S184" s="157" t="s">
        <v>257</v>
      </c>
      <c r="T184" s="157" t="s">
        <v>879</v>
      </c>
    </row>
    <row r="185" spans="1:20" x14ac:dyDescent="0.3">
      <c r="A185" s="275">
        <v>391</v>
      </c>
      <c r="B185" s="157" t="s">
        <v>116</v>
      </c>
      <c r="C185" s="157" t="s">
        <v>351</v>
      </c>
      <c r="D185" s="158" t="s">
        <v>279</v>
      </c>
      <c r="E185" s="423">
        <v>56</v>
      </c>
      <c r="F185" s="419" t="s">
        <v>265</v>
      </c>
      <c r="G185" s="419" t="s">
        <v>251</v>
      </c>
      <c r="H185" s="419" t="s">
        <v>242</v>
      </c>
      <c r="I185" s="419" t="s">
        <v>246</v>
      </c>
      <c r="J185" s="419" t="s">
        <v>245</v>
      </c>
      <c r="K185" s="154" t="str">
        <f>IF(ISBLANK(E185),"ručně doplnit",IF(E185="-","není ve výkazech",IF(C185="Rozvaha",VLOOKUP(E185,'radky_R'!$A:$B,2,0),IF(C185="Výsledovka",VLOOKUP(E185,'radky_V'!A:M,2,0)))))</f>
        <v>Jiné pohledávky</v>
      </c>
      <c r="R185" s="154" t="str">
        <f>IF(ISBLANK(L185),"není alternativa",IF(L185="-","není ve výkazech",VLOOKUP(L185,'radky_R'!$A:$B,2,0)))</f>
        <v>není alternativa</v>
      </c>
      <c r="S185" s="157" t="s">
        <v>257</v>
      </c>
      <c r="T185" s="157" t="s">
        <v>879</v>
      </c>
    </row>
    <row r="186" spans="1:20" x14ac:dyDescent="0.3">
      <c r="A186" s="275">
        <v>395</v>
      </c>
      <c r="B186" s="157" t="s">
        <v>117</v>
      </c>
      <c r="C186" s="157" t="s">
        <v>351</v>
      </c>
      <c r="D186" s="158" t="s">
        <v>279</v>
      </c>
      <c r="E186" s="423" t="s">
        <v>262</v>
      </c>
      <c r="F186" s="419"/>
      <c r="G186" s="419"/>
      <c r="H186" s="419"/>
      <c r="I186" s="419"/>
      <c r="J186" s="419"/>
      <c r="K186" s="154" t="str">
        <f>IF(ISBLANK(E186),"ručně doplnit",IF(E186="-","není ve výkazech",IF(C186="Rozvaha",VLOOKUP(E186,'radky_R'!$A:$B,2,0),IF(C186="Výsledovka",VLOOKUP(E186,'radky_V'!A:M,2,0)))))</f>
        <v>není ve výkazech</v>
      </c>
      <c r="R186" s="154" t="str">
        <f>IF(ISBLANK(L186),"není alternativa",IF(L186="-","není ve výkazech",VLOOKUP(L186,'radky_R'!$A:$B,2,0)))</f>
        <v>není alternativa</v>
      </c>
      <c r="S186" s="157" t="s">
        <v>255</v>
      </c>
      <c r="T186" s="157" t="s">
        <v>879</v>
      </c>
    </row>
    <row r="187" spans="1:20" x14ac:dyDescent="0.3">
      <c r="A187" s="275">
        <v>398</v>
      </c>
      <c r="B187" s="157" t="s">
        <v>118</v>
      </c>
      <c r="C187" s="157" t="s">
        <v>351</v>
      </c>
      <c r="D187" s="158" t="s">
        <v>318</v>
      </c>
      <c r="E187" s="423">
        <v>62</v>
      </c>
      <c r="F187" s="419" t="s">
        <v>265</v>
      </c>
      <c r="G187" s="419" t="s">
        <v>251</v>
      </c>
      <c r="H187" s="419" t="s">
        <v>243</v>
      </c>
      <c r="I187" s="419" t="s">
        <v>245</v>
      </c>
      <c r="J187" s="419" t="s">
        <v>242</v>
      </c>
      <c r="K187" s="154" t="str">
        <f>IF(ISBLANK(E187),"ručně doplnit",IF(E187="-","není ve výkazech",IF(C187="Rozvaha",VLOOKUP(E187,'radky_R'!$A:$B,2,0),IF(C187="Výsledovka",VLOOKUP(E187,'radky_V'!A:M,2,0)))))</f>
        <v>Pohledávky za společníky</v>
      </c>
      <c r="L187" s="423">
        <v>133</v>
      </c>
      <c r="M187" s="419" t="s">
        <v>265</v>
      </c>
      <c r="N187" s="419" t="s">
        <v>251</v>
      </c>
      <c r="O187" s="419" t="s">
        <v>249</v>
      </c>
      <c r="P187" s="419" t="s">
        <v>242</v>
      </c>
      <c r="Q187" s="419"/>
      <c r="R187" s="154" t="str">
        <f>IF(ISBLANK(L187),"není alternativa",IF(L187="-","není ve výkazech",VLOOKUP(L187,'radky_R'!$A:$B,2,0)))</f>
        <v>Závazky ke společníkům</v>
      </c>
      <c r="S187" s="157" t="s">
        <v>255</v>
      </c>
      <c r="T187" s="157" t="s">
        <v>879</v>
      </c>
    </row>
    <row r="188" spans="1:20" x14ac:dyDescent="0.3">
      <c r="A188" s="275">
        <v>411</v>
      </c>
      <c r="B188" s="157" t="s">
        <v>119</v>
      </c>
      <c r="C188" s="157" t="s">
        <v>351</v>
      </c>
      <c r="D188" s="158" t="s">
        <v>291</v>
      </c>
      <c r="E188" s="423">
        <v>81</v>
      </c>
      <c r="F188" s="419" t="s">
        <v>239</v>
      </c>
      <c r="G188" s="419" t="s">
        <v>241</v>
      </c>
      <c r="H188" s="419" t="s">
        <v>242</v>
      </c>
      <c r="I188" s="419"/>
      <c r="J188" s="419"/>
      <c r="K188" s="154" t="str">
        <f>IF(ISBLANK(E188),"ručně doplnit",IF(E188="-","není ve výkazech",IF(C188="Rozvaha",VLOOKUP(E188,'radky_R'!$A:$B,2,0),IF(C188="Výsledovka",VLOOKUP(E188,'radky_V'!A:M,2,0)))))</f>
        <v>Základní kapitál</v>
      </c>
      <c r="R188" s="154" t="str">
        <f>IF(ISBLANK(L188),"není alternativa",IF(L188="-","není ve výkazech",VLOOKUP(L188,'radky_R'!$A:$B,2,0)))</f>
        <v>není alternativa</v>
      </c>
      <c r="S188" s="157" t="s">
        <v>255</v>
      </c>
      <c r="T188" s="157" t="s">
        <v>877</v>
      </c>
    </row>
    <row r="189" spans="1:20" x14ac:dyDescent="0.3">
      <c r="A189" s="275">
        <v>412</v>
      </c>
      <c r="B189" s="157" t="s">
        <v>120</v>
      </c>
      <c r="C189" s="157" t="s">
        <v>351</v>
      </c>
      <c r="D189" s="158" t="s">
        <v>291</v>
      </c>
      <c r="E189" s="423">
        <v>85</v>
      </c>
      <c r="F189" s="419" t="s">
        <v>239</v>
      </c>
      <c r="G189" s="419" t="s">
        <v>251</v>
      </c>
      <c r="H189" s="419" t="s">
        <v>242</v>
      </c>
      <c r="I189" s="419"/>
      <c r="J189" s="419"/>
      <c r="K189" s="154" t="str">
        <f>IF(ISBLANK(E189),"ručně doplnit",IF(E189="-","není ve výkazech",IF(C189="Rozvaha",VLOOKUP(E189,'radky_R'!$A:$B,2,0),IF(C189="Výsledovka",VLOOKUP(E189,'radky_V'!A:M,2,0)))))</f>
        <v>Ážio</v>
      </c>
      <c r="R189" s="154" t="str">
        <f>IF(ISBLANK(L189),"není alternativa",IF(L189="-","není ve výkazech",VLOOKUP(L189,'radky_R'!$A:$B,2,0)))</f>
        <v>není alternativa</v>
      </c>
      <c r="S189" s="157" t="s">
        <v>255</v>
      </c>
      <c r="T189" s="157" t="s">
        <v>877</v>
      </c>
    </row>
    <row r="190" spans="1:20" x14ac:dyDescent="0.3">
      <c r="A190" s="275">
        <v>413</v>
      </c>
      <c r="B190" s="157" t="s">
        <v>121</v>
      </c>
      <c r="C190" s="157" t="s">
        <v>351</v>
      </c>
      <c r="D190" s="158" t="s">
        <v>291</v>
      </c>
      <c r="E190" s="423">
        <v>87</v>
      </c>
      <c r="F190" s="419" t="s">
        <v>239</v>
      </c>
      <c r="G190" s="419" t="s">
        <v>251</v>
      </c>
      <c r="H190" s="419" t="s">
        <v>243</v>
      </c>
      <c r="I190" s="419" t="s">
        <v>242</v>
      </c>
      <c r="J190" s="419"/>
      <c r="K190" s="154" t="str">
        <f>IF(ISBLANK(E190),"ručně doplnit",IF(E190="-","není ve výkazech",IF(C190="Rozvaha",VLOOKUP(E190,'radky_R'!$A:$B,2,0),IF(C190="Výsledovka",VLOOKUP(E190,'radky_V'!A:M,2,0)))))</f>
        <v>Ostatní kapitálové fondy</v>
      </c>
      <c r="R190" s="154" t="str">
        <f>IF(ISBLANK(L190),"není alternativa",IF(L190="-","není ve výkazech",VLOOKUP(L190,'radky_R'!$A:$B,2,0)))</f>
        <v>není alternativa</v>
      </c>
      <c r="S190" s="157" t="s">
        <v>255</v>
      </c>
      <c r="T190" s="157" t="s">
        <v>877</v>
      </c>
    </row>
    <row r="191" spans="1:20" x14ac:dyDescent="0.3">
      <c r="A191" s="275">
        <v>414</v>
      </c>
      <c r="B191" s="157" t="s">
        <v>122</v>
      </c>
      <c r="C191" s="157" t="s">
        <v>351</v>
      </c>
      <c r="D191" s="158" t="s">
        <v>291</v>
      </c>
      <c r="E191" s="423">
        <v>88</v>
      </c>
      <c r="F191" s="419" t="s">
        <v>239</v>
      </c>
      <c r="G191" s="419" t="s">
        <v>251</v>
      </c>
      <c r="H191" s="419" t="s">
        <v>243</v>
      </c>
      <c r="I191" s="419" t="s">
        <v>243</v>
      </c>
      <c r="J191" s="419"/>
      <c r="K191" s="154" t="str">
        <f>IF(ISBLANK(E191),"ručně doplnit",IF(E191="-","není ve výkazech",IF(C191="Rozvaha",VLOOKUP(E191,'radky_R'!$A:$B,2,0),IF(C191="Výsledovka",VLOOKUP(E191,'radky_V'!A:M,2,0)))))</f>
        <v>Oceňovací rozdíly z přecenění majetku a závazků (+/-)</v>
      </c>
      <c r="R191" s="154" t="str">
        <f>IF(ISBLANK(L191),"není alternativa",IF(L191="-","není ve výkazech",VLOOKUP(L191,'radky_R'!$A:$B,2,0)))</f>
        <v>není alternativa</v>
      </c>
      <c r="S191" s="157" t="s">
        <v>255</v>
      </c>
      <c r="T191" s="157" t="s">
        <v>877</v>
      </c>
    </row>
    <row r="192" spans="1:20" x14ac:dyDescent="0.3">
      <c r="A192" s="275">
        <v>416</v>
      </c>
      <c r="B192" s="157" t="s">
        <v>302</v>
      </c>
      <c r="C192" s="157" t="s">
        <v>351</v>
      </c>
      <c r="D192" s="158" t="s">
        <v>291</v>
      </c>
      <c r="E192" s="423">
        <v>91</v>
      </c>
      <c r="F192" s="419" t="s">
        <v>239</v>
      </c>
      <c r="G192" s="419" t="s">
        <v>251</v>
      </c>
      <c r="H192" s="419" t="s">
        <v>243</v>
      </c>
      <c r="I192" s="419" t="s">
        <v>246</v>
      </c>
      <c r="J192" s="419"/>
      <c r="K192" s="154" t="str">
        <f>IF(ISBLANK(E192),"ručně doplnit",IF(E192="-","není ve výkazech",IF(C192="Rozvaha",VLOOKUP(E192,'radky_R'!$A:$B,2,0),IF(C192="Výsledovka",VLOOKUP(E192,'radky_V'!A:M,2,0)))))</f>
        <v>Rozdíly z ocenění při přeměnách obchodních korporací (+/-)</v>
      </c>
      <c r="R192" s="154" t="str">
        <f>IF(ISBLANK(L192),"není alternativa",IF(L192="-","není ve výkazech",VLOOKUP(L192,'radky_R'!$A:$B,2,0)))</f>
        <v>není alternativa</v>
      </c>
      <c r="S192" s="157" t="s">
        <v>255</v>
      </c>
      <c r="T192" s="157" t="s">
        <v>877</v>
      </c>
    </row>
    <row r="193" spans="1:20" x14ac:dyDescent="0.3">
      <c r="A193" s="275">
        <v>417</v>
      </c>
      <c r="B193" s="157" t="s">
        <v>123</v>
      </c>
      <c r="C193" s="157" t="s">
        <v>351</v>
      </c>
      <c r="D193" s="158" t="s">
        <v>291</v>
      </c>
      <c r="E193" s="423">
        <v>90</v>
      </c>
      <c r="F193" s="419" t="s">
        <v>239</v>
      </c>
      <c r="G193" s="419" t="s">
        <v>251</v>
      </c>
      <c r="H193" s="419" t="s">
        <v>243</v>
      </c>
      <c r="I193" s="419" t="s">
        <v>245</v>
      </c>
      <c r="J193" s="419"/>
      <c r="K193" s="154" t="str">
        <f>IF(ISBLANK(E193),"ručně doplnit",IF(E193="-","není ve výkazech",IF(C193="Rozvaha",VLOOKUP(E193,'radky_R'!$A:$B,2,0),IF(C193="Výsledovka",VLOOKUP(E193,'radky_V'!A:M,2,0)))))</f>
        <v>Rozdíly z přeměn obchodních korporací (+/-)</v>
      </c>
      <c r="R193" s="154" t="str">
        <f>IF(ISBLANK(L193),"není alternativa",IF(L193="-","není ve výkazech",VLOOKUP(L193,'radky_R'!$A:$B,2,0)))</f>
        <v>není alternativa</v>
      </c>
      <c r="S193" s="157" t="s">
        <v>255</v>
      </c>
      <c r="T193" s="157" t="s">
        <v>877</v>
      </c>
    </row>
    <row r="194" spans="1:20" x14ac:dyDescent="0.3">
      <c r="A194" s="275">
        <v>418</v>
      </c>
      <c r="B194" s="157" t="s">
        <v>124</v>
      </c>
      <c r="C194" s="157" t="s">
        <v>351</v>
      </c>
      <c r="D194" s="158" t="s">
        <v>291</v>
      </c>
      <c r="E194" s="423">
        <v>89</v>
      </c>
      <c r="F194" s="419" t="s">
        <v>239</v>
      </c>
      <c r="G194" s="419" t="s">
        <v>251</v>
      </c>
      <c r="H194" s="419" t="s">
        <v>243</v>
      </c>
      <c r="I194" s="419" t="s">
        <v>244</v>
      </c>
      <c r="J194" s="419"/>
      <c r="K194" s="154" t="str">
        <f>IF(ISBLANK(E194),"ručně doplnit",IF(E194="-","není ve výkazech",IF(C194="Rozvaha",VLOOKUP(E194,'radky_R'!$A:$B,2,0),IF(C194="Výsledovka",VLOOKUP(E194,'radky_V'!A:M,2,0)))))</f>
        <v>Oceň. rozdíly z přecenění při přeměnách obch. korporací (+/-)</v>
      </c>
      <c r="R194" s="154" t="str">
        <f>IF(ISBLANK(L194),"není alternativa",IF(L194="-","není ve výkazech",VLOOKUP(L194,'radky_R'!$A:$B,2,0)))</f>
        <v>není alternativa</v>
      </c>
      <c r="S194" s="157" t="s">
        <v>255</v>
      </c>
      <c r="T194" s="157" t="s">
        <v>877</v>
      </c>
    </row>
    <row r="195" spans="1:20" x14ac:dyDescent="0.3">
      <c r="A195" s="275">
        <v>419</v>
      </c>
      <c r="B195" s="157" t="s">
        <v>125</v>
      </c>
      <c r="C195" s="157" t="s">
        <v>351</v>
      </c>
      <c r="D195" s="158" t="s">
        <v>291</v>
      </c>
      <c r="E195" s="423">
        <v>83</v>
      </c>
      <c r="F195" s="419" t="s">
        <v>239</v>
      </c>
      <c r="G195" s="419" t="s">
        <v>241</v>
      </c>
      <c r="H195" s="419" t="s">
        <v>244</v>
      </c>
      <c r="I195" s="419"/>
      <c r="J195" s="419"/>
      <c r="K195" s="154" t="str">
        <f>IF(ISBLANK(E195),"ručně doplnit",IF(E195="-","není ve výkazech",IF(C195="Rozvaha",VLOOKUP(E195,'radky_R'!$A:$B,2,0),IF(C195="Výsledovka",VLOOKUP(E195,'radky_V'!A:M,2,0)))))</f>
        <v>Změny základního kapitálu</v>
      </c>
      <c r="R195" s="154" t="str">
        <f>IF(ISBLANK(L195),"není alternativa",IF(L195="-","není ve výkazech",VLOOKUP(L195,'radky_R'!$A:$B,2,0)))</f>
        <v>není alternativa</v>
      </c>
      <c r="S195" s="157" t="s">
        <v>255</v>
      </c>
      <c r="T195" s="157" t="s">
        <v>877</v>
      </c>
    </row>
    <row r="196" spans="1:20" x14ac:dyDescent="0.3">
      <c r="A196" s="275">
        <v>421</v>
      </c>
      <c r="B196" s="157" t="s">
        <v>126</v>
      </c>
      <c r="C196" s="157" t="s">
        <v>351</v>
      </c>
      <c r="D196" s="158" t="s">
        <v>291</v>
      </c>
      <c r="E196" s="423">
        <v>93</v>
      </c>
      <c r="F196" s="419" t="s">
        <v>239</v>
      </c>
      <c r="G196" s="419" t="s">
        <v>256</v>
      </c>
      <c r="H196" s="419" t="s">
        <v>242</v>
      </c>
      <c r="I196" s="419"/>
      <c r="J196" s="419"/>
      <c r="K196" s="154" t="str">
        <f>IF(ISBLANK(E196),"ručně doplnit",IF(E196="-","není ve výkazech",IF(C196="Rozvaha",VLOOKUP(E196,'radky_R'!$A:$B,2,0),IF(C196="Výsledovka",VLOOKUP(E196,'radky_V'!A:M,2,0)))))</f>
        <v>Ostatní rezervní fondy</v>
      </c>
      <c r="R196" s="154" t="str">
        <f>IF(ISBLANK(L196),"není alternativa",IF(L196="-","není ve výkazech",VLOOKUP(L196,'radky_R'!$A:$B,2,0)))</f>
        <v>není alternativa</v>
      </c>
      <c r="S196" s="157" t="s">
        <v>255</v>
      </c>
      <c r="T196" s="157" t="s">
        <v>877</v>
      </c>
    </row>
    <row r="197" spans="1:20" x14ac:dyDescent="0.3">
      <c r="A197" s="275">
        <v>422</v>
      </c>
      <c r="B197" s="157" t="s">
        <v>127</v>
      </c>
      <c r="C197" s="157" t="s">
        <v>351</v>
      </c>
      <c r="D197" s="158" t="s">
        <v>291</v>
      </c>
      <c r="E197" s="275" t="s">
        <v>262</v>
      </c>
      <c r="K197" s="154" t="str">
        <f>IF(ISBLANK(E197),"ručně doplnit",IF(E197="-","není ve výkazech",IF(C197="Rozvaha",VLOOKUP(E197,'radky_R'!$A:$B,2,0),IF(C197="Výsledovka",VLOOKUP(E197,'radky_V'!A:M,2,0)))))</f>
        <v>není ve výkazech</v>
      </c>
      <c r="R197" s="154" t="str">
        <f>IF(ISBLANK(L197),"není alternativa",IF(L197="-","není ve výkazech",VLOOKUP(L197,'radky_R'!$A:$B,2,0)))</f>
        <v>není alternativa</v>
      </c>
      <c r="S197" s="157" t="s">
        <v>255</v>
      </c>
      <c r="T197" s="157" t="s">
        <v>877</v>
      </c>
    </row>
    <row r="198" spans="1:20" x14ac:dyDescent="0.3">
      <c r="A198" s="275">
        <v>423</v>
      </c>
      <c r="B198" s="157" t="s">
        <v>128</v>
      </c>
      <c r="C198" s="157" t="s">
        <v>351</v>
      </c>
      <c r="D198" s="158" t="s">
        <v>291</v>
      </c>
      <c r="E198" s="423">
        <v>94</v>
      </c>
      <c r="F198" s="419" t="s">
        <v>239</v>
      </c>
      <c r="G198" s="419" t="s">
        <v>256</v>
      </c>
      <c r="H198" s="419" t="s">
        <v>243</v>
      </c>
      <c r="I198" s="419"/>
      <c r="J198" s="419"/>
      <c r="K198" s="154" t="str">
        <f>IF(ISBLANK(E198),"ručně doplnit",IF(E198="-","není ve výkazech",IF(C198="Rozvaha",VLOOKUP(E198,'radky_R'!$A:$B,2,0),IF(C198="Výsledovka",VLOOKUP(E198,'radky_V'!A:M,2,0)))))</f>
        <v>Statutární a ostatní fondy</v>
      </c>
      <c r="R198" s="154" t="str">
        <f>IF(ISBLANK(L198),"není alternativa",IF(L198="-","není ve výkazech",VLOOKUP(L198,'radky_R'!$A:$B,2,0)))</f>
        <v>není alternativa</v>
      </c>
      <c r="S198" s="157" t="s">
        <v>255</v>
      </c>
      <c r="T198" s="157" t="s">
        <v>877</v>
      </c>
    </row>
    <row r="199" spans="1:20" x14ac:dyDescent="0.3">
      <c r="A199" s="275">
        <v>426</v>
      </c>
      <c r="B199" s="157" t="s">
        <v>129</v>
      </c>
      <c r="C199" s="157" t="s">
        <v>351</v>
      </c>
      <c r="D199" s="158" t="s">
        <v>291</v>
      </c>
      <c r="E199" s="423">
        <v>97</v>
      </c>
      <c r="F199" s="419" t="s">
        <v>239</v>
      </c>
      <c r="G199" s="419" t="s">
        <v>273</v>
      </c>
      <c r="H199" s="419" t="s">
        <v>243</v>
      </c>
      <c r="I199" s="419"/>
      <c r="J199" s="419"/>
      <c r="K199" s="154" t="str">
        <f>IF(ISBLANK(E199),"ručně doplnit",IF(E199="-","není ve výkazech",IF(C199="Rozvaha",VLOOKUP(E199,'radky_R'!$A:$B,2,0),IF(C199="Výsledovka",VLOOKUP(E199,'radky_V'!A:M,2,0)))))</f>
        <v>Jiný výsledek hospodaření minulých let (+/-)</v>
      </c>
      <c r="R199" s="154" t="str">
        <f>IF(ISBLANK(L199),"není alternativa",IF(L199="-","není ve výkazech",VLOOKUP(L199,'radky_R'!$A:$B,2,0)))</f>
        <v>není alternativa</v>
      </c>
      <c r="S199" s="157" t="s">
        <v>255</v>
      </c>
      <c r="T199" s="157" t="s">
        <v>877</v>
      </c>
    </row>
    <row r="200" spans="1:20" x14ac:dyDescent="0.3">
      <c r="A200" s="275">
        <v>427</v>
      </c>
      <c r="B200" s="157" t="s">
        <v>130</v>
      </c>
      <c r="C200" s="157" t="s">
        <v>351</v>
      </c>
      <c r="D200" s="158" t="s">
        <v>291</v>
      </c>
      <c r="E200" s="423">
        <v>94</v>
      </c>
      <c r="F200" s="419" t="s">
        <v>239</v>
      </c>
      <c r="G200" s="419" t="s">
        <v>256</v>
      </c>
      <c r="H200" s="419" t="s">
        <v>243</v>
      </c>
      <c r="I200" s="419"/>
      <c r="J200" s="419"/>
      <c r="K200" s="154" t="str">
        <f>IF(ISBLANK(E200),"ručně doplnit",IF(E200="-","není ve výkazech",IF(C200="Rozvaha",VLOOKUP(E200,'radky_R'!$A:$B,2,0),IF(C200="Výsledovka",VLOOKUP(E200,'radky_V'!A:M,2,0)))))</f>
        <v>Statutární a ostatní fondy</v>
      </c>
      <c r="R200" s="154" t="str">
        <f>IF(ISBLANK(L200),"není alternativa",IF(L200="-","není ve výkazech",VLOOKUP(L200,'radky_R'!$A:$B,2,0)))</f>
        <v>není alternativa</v>
      </c>
      <c r="S200" s="157" t="s">
        <v>255</v>
      </c>
      <c r="T200" s="157" t="s">
        <v>877</v>
      </c>
    </row>
    <row r="201" spans="1:20" x14ac:dyDescent="0.3">
      <c r="A201" s="275">
        <v>428</v>
      </c>
      <c r="B201" s="157" t="s">
        <v>131</v>
      </c>
      <c r="C201" s="157" t="s">
        <v>351</v>
      </c>
      <c r="D201" s="158" t="s">
        <v>291</v>
      </c>
      <c r="E201" s="423">
        <v>96</v>
      </c>
      <c r="F201" s="419" t="s">
        <v>239</v>
      </c>
      <c r="G201" s="419" t="s">
        <v>273</v>
      </c>
      <c r="H201" s="419" t="s">
        <v>242</v>
      </c>
      <c r="I201" s="419"/>
      <c r="J201" s="419"/>
      <c r="K201" s="154" t="str">
        <f>IF(ISBLANK(E201),"ručně doplnit",IF(E201="-","není ve výkazech",IF(C201="Rozvaha",VLOOKUP(E201,'radky_R'!$A:$B,2,0),IF(C201="Výsledovka",VLOOKUP(E201,'radky_V'!A:M,2,0)))))</f>
        <v>Nerozdělený zisk nebo neuhrazená ztráta minulých let (+/-)</v>
      </c>
      <c r="R201" s="154" t="str">
        <f>IF(ISBLANK(L201),"není alternativa",IF(L201="-","není ve výkazech",VLOOKUP(L201,'radky_R'!$A:$B,2,0)))</f>
        <v>není alternativa</v>
      </c>
      <c r="S201" s="157" t="s">
        <v>255</v>
      </c>
      <c r="T201" s="157" t="s">
        <v>877</v>
      </c>
    </row>
    <row r="202" spans="1:20" x14ac:dyDescent="0.3">
      <c r="A202" s="275">
        <v>429</v>
      </c>
      <c r="B202" s="157" t="s">
        <v>132</v>
      </c>
      <c r="C202" s="157" t="s">
        <v>351</v>
      </c>
      <c r="D202" s="158" t="s">
        <v>291</v>
      </c>
      <c r="E202" s="423">
        <v>96</v>
      </c>
      <c r="F202" s="419" t="s">
        <v>239</v>
      </c>
      <c r="G202" s="419" t="s">
        <v>273</v>
      </c>
      <c r="H202" s="419" t="s">
        <v>242</v>
      </c>
      <c r="I202" s="419"/>
      <c r="J202" s="419"/>
      <c r="K202" s="154" t="str">
        <f>IF(ISBLANK(E202),"ručně doplnit",IF(E202="-","není ve výkazech",IF(C202="Rozvaha",VLOOKUP(E202,'radky_R'!$A:$B,2,0),IF(C202="Výsledovka",VLOOKUP(E202,'radky_V'!A:M,2,0)))))</f>
        <v>Nerozdělený zisk nebo neuhrazená ztráta minulých let (+/-)</v>
      </c>
      <c r="R202" s="154" t="str">
        <f>IF(ISBLANK(L202),"není alternativa",IF(L202="-","není ve výkazech",VLOOKUP(L202,'radky_R'!$A:$B,2,0)))</f>
        <v>není alternativa</v>
      </c>
      <c r="S202" s="157" t="s">
        <v>255</v>
      </c>
      <c r="T202" s="157" t="s">
        <v>877</v>
      </c>
    </row>
    <row r="203" spans="1:20" x14ac:dyDescent="0.3">
      <c r="A203" s="275">
        <v>431</v>
      </c>
      <c r="B203" s="157" t="s">
        <v>133</v>
      </c>
      <c r="C203" s="157" t="s">
        <v>351</v>
      </c>
      <c r="D203" s="158" t="s">
        <v>318</v>
      </c>
      <c r="E203" s="275"/>
      <c r="K203" s="154" t="str">
        <f>IF(ISBLANK(E203),"ručně doplnit",IF(E203="-","není ve výkazech",IF(C203="Rozvaha",VLOOKUP(E203,'radky_R'!$A:$B,2,0),IF(C203="Výsledovka",VLOOKUP(E203,'radky_V'!A:M,2,0)))))</f>
        <v>ručně doplnit</v>
      </c>
      <c r="R203" s="154" t="str">
        <f>IF(ISBLANK(L203),"není alternativa",IF(L203="-","není ve výkazech",VLOOKUP(L203,'radky_R'!$A:$B,2,0)))</f>
        <v>není alternativa</v>
      </c>
      <c r="S203" s="157" t="s">
        <v>255</v>
      </c>
      <c r="T203" s="157" t="s">
        <v>877</v>
      </c>
    </row>
    <row r="204" spans="1:20" x14ac:dyDescent="0.3">
      <c r="A204" s="275">
        <v>432</v>
      </c>
      <c r="B204" s="157" t="s">
        <v>632</v>
      </c>
      <c r="C204" s="157" t="s">
        <v>351</v>
      </c>
      <c r="D204" s="158" t="s">
        <v>291</v>
      </c>
      <c r="E204" s="423">
        <v>99</v>
      </c>
      <c r="F204" s="419" t="s">
        <v>239</v>
      </c>
      <c r="G204" s="419" t="s">
        <v>327</v>
      </c>
      <c r="H204" s="419"/>
      <c r="I204" s="419"/>
      <c r="J204" s="419"/>
      <c r="K204" s="154" t="str">
        <f>IF(ISBLANK(E204),"ručně doplnit",IF(E204="-","není ve výkazech",IF(C204="Rozvaha",VLOOKUP(E204,'radky_R'!$A:$B,2,0),IF(C204="Výsledovka",VLOOKUP(E204,'radky_V'!A:M,2,0)))))</f>
        <v>Rozhodnuto o zálohové výplatě podílu na zisku</v>
      </c>
      <c r="R204" s="154" t="str">
        <f>IF(ISBLANK(L204),"není alternativa",IF(L204="-","není ve výkazech",VLOOKUP(L204,'radky_R'!$A:$B,2,0)))</f>
        <v>není alternativa</v>
      </c>
      <c r="S204" s="157" t="s">
        <v>255</v>
      </c>
      <c r="T204" s="157" t="s">
        <v>877</v>
      </c>
    </row>
    <row r="205" spans="1:20" x14ac:dyDescent="0.3">
      <c r="A205" s="275">
        <v>451</v>
      </c>
      <c r="B205" s="157" t="s">
        <v>134</v>
      </c>
      <c r="C205" s="157" t="s">
        <v>351</v>
      </c>
      <c r="D205" s="158" t="s">
        <v>291</v>
      </c>
      <c r="E205" s="423">
        <v>104</v>
      </c>
      <c r="F205" s="419" t="s">
        <v>240</v>
      </c>
      <c r="G205" s="419" t="s">
        <v>244</v>
      </c>
      <c r="H205" s="419"/>
      <c r="I205" s="419"/>
      <c r="J205" s="419"/>
      <c r="K205" s="154" t="str">
        <f>IF(ISBLANK(E205),"ručně doplnit",IF(E205="-","není ve výkazech",IF(C205="Rozvaha",VLOOKUP(E205,'radky_R'!$A:$B,2,0),IF(C205="Výsledovka",VLOOKUP(E205,'radky_V'!A:M,2,0)))))</f>
        <v>Rezervy podle zvláštních právních předpisů</v>
      </c>
      <c r="R205" s="154" t="str">
        <f>IF(ISBLANK(L205),"není alternativa",IF(L205="-","není ve výkazech",VLOOKUP(L205,'radky_R'!$A:$B,2,0)))</f>
        <v>není alternativa</v>
      </c>
      <c r="S205" s="157" t="s">
        <v>255</v>
      </c>
      <c r="T205" s="157" t="s">
        <v>876</v>
      </c>
    </row>
    <row r="206" spans="1:20" x14ac:dyDescent="0.3">
      <c r="A206" s="275">
        <v>452</v>
      </c>
      <c r="B206" s="157" t="s">
        <v>135</v>
      </c>
      <c r="C206" s="157" t="s">
        <v>351</v>
      </c>
      <c r="D206" s="158" t="s">
        <v>291</v>
      </c>
      <c r="E206" s="275"/>
      <c r="K206" s="154" t="str">
        <f>IF(ISBLANK(E206),"ručně doplnit",IF(E206="-","není ve výkazech",IF(C206="Rozvaha",VLOOKUP(E206,'radky_R'!$A:$B,2,0),IF(C206="Výsledovka",VLOOKUP(E206,'radky_V'!A:M,2,0)))))</f>
        <v>ručně doplnit</v>
      </c>
      <c r="R206" s="154" t="str">
        <f>IF(ISBLANK(L206),"není alternativa",IF(L206="-","není ve výkazech",VLOOKUP(L206,'radky_R'!$A:$B,2,0)))</f>
        <v>není alternativa</v>
      </c>
      <c r="S206" s="157" t="s">
        <v>255</v>
      </c>
      <c r="T206" s="157" t="s">
        <v>881</v>
      </c>
    </row>
    <row r="207" spans="1:20" x14ac:dyDescent="0.3">
      <c r="A207" s="275">
        <v>453</v>
      </c>
      <c r="B207" s="157" t="s">
        <v>136</v>
      </c>
      <c r="C207" s="157" t="s">
        <v>351</v>
      </c>
      <c r="D207" s="158" t="s">
        <v>291</v>
      </c>
      <c r="E207" s="423">
        <v>103</v>
      </c>
      <c r="F207" s="419" t="s">
        <v>240</v>
      </c>
      <c r="G207" s="419" t="s">
        <v>243</v>
      </c>
      <c r="H207" s="419"/>
      <c r="I207" s="419"/>
      <c r="J207" s="419"/>
      <c r="K207" s="154" t="str">
        <f>IF(ISBLANK(E207),"ručně doplnit",IF(E207="-","není ve výkazech",IF(C207="Rozvaha",VLOOKUP(E207,'radky_R'!$A:$B,2,0),IF(C207="Výsledovka",VLOOKUP(E207,'radky_V'!A:M,2,0)))))</f>
        <v>Rezerva na daň z příjmů</v>
      </c>
      <c r="R207" s="154" t="str">
        <f>IF(ISBLANK(L207),"není alternativa",IF(L207="-","není ve výkazech",VLOOKUP(L207,'radky_R'!$A:$B,2,0)))</f>
        <v>není alternativa</v>
      </c>
      <c r="S207" s="157" t="s">
        <v>255</v>
      </c>
      <c r="T207" s="157" t="s">
        <v>882</v>
      </c>
    </row>
    <row r="208" spans="1:20" x14ac:dyDescent="0.3">
      <c r="A208" s="275">
        <v>454</v>
      </c>
      <c r="C208" s="157" t="s">
        <v>351</v>
      </c>
      <c r="D208" s="158" t="s">
        <v>291</v>
      </c>
      <c r="E208" s="275"/>
      <c r="K208" s="154" t="str">
        <f>IF(ISBLANK(E208),"ručně doplnit",IF(E208="-","není ve výkazech",IF(C208="Rozvaha",VLOOKUP(E208,'radky_R'!$A:$B,2,0),IF(C208="Výsledovka",VLOOKUP(E208,'radky_V'!A:M,2,0)))))</f>
        <v>ručně doplnit</v>
      </c>
      <c r="R208" s="154" t="str">
        <f>IF(ISBLANK(L208),"není alternativa",IF(L208="-","není ve výkazech",VLOOKUP(L208,'radky_R'!$A:$B,2,0)))</f>
        <v>není alternativa</v>
      </c>
      <c r="S208" s="157" t="s">
        <v>255</v>
      </c>
      <c r="T208" s="157" t="s">
        <v>882</v>
      </c>
    </row>
    <row r="209" spans="1:20" x14ac:dyDescent="0.3">
      <c r="A209" s="275">
        <v>459</v>
      </c>
      <c r="B209" s="157" t="s">
        <v>137</v>
      </c>
      <c r="C209" s="157" t="s">
        <v>351</v>
      </c>
      <c r="D209" s="158" t="s">
        <v>291</v>
      </c>
      <c r="E209" s="423">
        <v>105</v>
      </c>
      <c r="F209" s="419" t="s">
        <v>240</v>
      </c>
      <c r="G209" s="419" t="s">
        <v>245</v>
      </c>
      <c r="H209" s="419"/>
      <c r="I209" s="419"/>
      <c r="J209" s="419"/>
      <c r="K209" s="154" t="str">
        <f>IF(ISBLANK(E209),"ručně doplnit",IF(E209="-","není ve výkazech",IF(C209="Rozvaha",VLOOKUP(E209,'radky_R'!$A:$B,2,0),IF(C209="Výsledovka",VLOOKUP(E209,'radky_V'!A:M,2,0)))))</f>
        <v>Ostatní rezervy</v>
      </c>
      <c r="R209" s="154" t="str">
        <f>IF(ISBLANK(L209),"není alternativa",IF(L209="-","není ve výkazech",VLOOKUP(L209,'radky_R'!$A:$B,2,0)))</f>
        <v>není alternativa</v>
      </c>
      <c r="S209" s="157" t="s">
        <v>255</v>
      </c>
      <c r="T209" s="157" t="s">
        <v>881</v>
      </c>
    </row>
    <row r="210" spans="1:20" x14ac:dyDescent="0.3">
      <c r="A210" s="275">
        <v>459</v>
      </c>
      <c r="B210" s="157" t="s">
        <v>137</v>
      </c>
      <c r="C210" s="157" t="s">
        <v>351</v>
      </c>
      <c r="D210" s="158" t="s">
        <v>291</v>
      </c>
      <c r="E210" s="423">
        <v>102</v>
      </c>
      <c r="F210" s="419" t="s">
        <v>240</v>
      </c>
      <c r="G210" s="419" t="s">
        <v>242</v>
      </c>
      <c r="H210" s="419"/>
      <c r="I210" s="419"/>
      <c r="J210" s="419"/>
      <c r="K210" s="154" t="str">
        <f>IF(ISBLANK(E210),"ručně doplnit",IF(E210="-","není ve výkazech",IF(C210="Rozvaha",VLOOKUP(E210,'radky_R'!$A:$B,2,0),IF(C210="Výsledovka",VLOOKUP(E210,'radky_V'!A:M,2,0)))))</f>
        <v>Rezerva na důchody a podobné závazky</v>
      </c>
      <c r="R210" s="154" t="str">
        <f>IF(ISBLANK(L210),"není alternativa",IF(L210="-","není ve výkazech",VLOOKUP(L210,'radky_R'!$A:$B,2,0)))</f>
        <v>není alternativa</v>
      </c>
      <c r="S210" s="157" t="s">
        <v>255</v>
      </c>
      <c r="T210" s="157" t="s">
        <v>881</v>
      </c>
    </row>
    <row r="211" spans="1:20" x14ac:dyDescent="0.3">
      <c r="A211" s="275">
        <v>461</v>
      </c>
      <c r="B211" s="157" t="s">
        <v>1039</v>
      </c>
      <c r="C211" s="157" t="s">
        <v>351</v>
      </c>
      <c r="D211" s="158" t="s">
        <v>291</v>
      </c>
      <c r="E211" s="423">
        <v>111</v>
      </c>
      <c r="F211" s="419" t="s">
        <v>265</v>
      </c>
      <c r="G211" s="419" t="s">
        <v>241</v>
      </c>
      <c r="H211" s="419" t="s">
        <v>243</v>
      </c>
      <c r="I211" s="419"/>
      <c r="J211" s="419"/>
      <c r="K211" s="154" t="str">
        <f>IF(ISBLANK(E211),"ručně doplnit",IF(E211="-","není ve výkazech",IF(C211="Rozvaha",VLOOKUP(E211,'radky_R'!$A:$B,2,0),IF(C211="Výsledovka",VLOOKUP(E211,'radky_V'!A:M,2,0)))))</f>
        <v>Závazky k úvěrovým institucím</v>
      </c>
      <c r="R211" s="154" t="str">
        <f>IF(ISBLANK(L211),"není alternativa",IF(L211="-","není ve výkazech",VLOOKUP(L211,'radky_R'!$A:$B,2,0)))</f>
        <v>není alternativa</v>
      </c>
      <c r="S211" s="157" t="s">
        <v>255</v>
      </c>
      <c r="T211" s="157" t="s">
        <v>877</v>
      </c>
    </row>
    <row r="212" spans="1:20" x14ac:dyDescent="0.3">
      <c r="A212" s="275">
        <v>461</v>
      </c>
      <c r="B212" s="157" t="s">
        <v>1039</v>
      </c>
      <c r="C212" s="157" t="s">
        <v>351</v>
      </c>
      <c r="D212" s="158" t="s">
        <v>291</v>
      </c>
      <c r="E212" s="423">
        <v>126</v>
      </c>
      <c r="F212" s="419" t="s">
        <v>265</v>
      </c>
      <c r="G212" s="419" t="s">
        <v>251</v>
      </c>
      <c r="H212" s="419" t="s">
        <v>243</v>
      </c>
      <c r="I212" s="419"/>
      <c r="J212" s="419"/>
      <c r="K212" s="154" t="str">
        <f>IF(ISBLANK(E212),"ručně doplnit",IF(E212="-","není ve výkazech",IF(C212="Rozvaha",VLOOKUP(E212,'radky_R'!$A:$B,2,0),IF(C212="Výsledovka",VLOOKUP(E212,'radky_V'!A:M,2,0)))))</f>
        <v>Závazky k úvěrovým institucím</v>
      </c>
      <c r="R212" s="154" t="str">
        <f>IF(ISBLANK(L212),"není alternativa",IF(L212="-","není ve výkazech",VLOOKUP(L212,'radky_R'!$A:$B,2,0)))</f>
        <v>není alternativa</v>
      </c>
      <c r="S212" s="157" t="s">
        <v>255</v>
      </c>
      <c r="T212" s="157" t="s">
        <v>877</v>
      </c>
    </row>
    <row r="213" spans="1:20" x14ac:dyDescent="0.3">
      <c r="A213" s="275">
        <v>471</v>
      </c>
      <c r="B213" s="157" t="s">
        <v>138</v>
      </c>
      <c r="C213" s="157" t="s">
        <v>351</v>
      </c>
      <c r="D213" s="158" t="s">
        <v>291</v>
      </c>
      <c r="E213" s="423">
        <v>115</v>
      </c>
      <c r="F213" s="419" t="s">
        <v>265</v>
      </c>
      <c r="G213" s="419" t="s">
        <v>241</v>
      </c>
      <c r="H213" s="419" t="s">
        <v>247</v>
      </c>
      <c r="I213" s="419"/>
      <c r="J213" s="419"/>
      <c r="K213" s="154" t="str">
        <f>IF(ISBLANK(E213),"ručně doplnit",IF(E213="-","není ve výkazech",IF(C213="Rozvaha",VLOOKUP(E213,'radky_R'!$A:$B,2,0),IF(C213="Výsledovka",VLOOKUP(E213,'radky_V'!A:M,2,0)))))</f>
        <v>Závazky - ovládaná nebo ovládající osoba</v>
      </c>
      <c r="R213" s="154" t="str">
        <f>IF(ISBLANK(L213),"není alternativa",IF(L213="-","není ve výkazech",VLOOKUP(L213,'radky_R'!$A:$B,2,0)))</f>
        <v>není alternativa</v>
      </c>
      <c r="S213" s="157" t="s">
        <v>255</v>
      </c>
      <c r="T213" s="157" t="s">
        <v>877</v>
      </c>
    </row>
    <row r="214" spans="1:20" x14ac:dyDescent="0.3">
      <c r="A214" s="275">
        <v>471</v>
      </c>
      <c r="B214" s="157" t="s">
        <v>138</v>
      </c>
      <c r="C214" s="157" t="s">
        <v>351</v>
      </c>
      <c r="D214" s="158" t="s">
        <v>291</v>
      </c>
      <c r="E214" s="423">
        <v>130</v>
      </c>
      <c r="F214" s="419" t="s">
        <v>265</v>
      </c>
      <c r="G214" s="419" t="s">
        <v>251</v>
      </c>
      <c r="H214" s="419" t="s">
        <v>247</v>
      </c>
      <c r="I214" s="419"/>
      <c r="J214" s="419"/>
      <c r="K214" s="154" t="str">
        <f>IF(ISBLANK(E214),"ručně doplnit",IF(E214="-","není ve výkazech",IF(C214="Rozvaha",VLOOKUP(E214,'radky_R'!$A:$B,2,0),IF(C214="Výsledovka",VLOOKUP(E214,'radky_V'!A:M,2,0)))))</f>
        <v>Závazky - ovládaná nebo ovládající osoba</v>
      </c>
      <c r="R214" s="154" t="str">
        <f>IF(ISBLANK(L214),"není alternativa",IF(L214="-","není ve výkazech",VLOOKUP(L214,'radky_R'!$A:$B,2,0)))</f>
        <v>není alternativa</v>
      </c>
      <c r="S214" s="157" t="s">
        <v>255</v>
      </c>
      <c r="T214" s="157" t="s">
        <v>877</v>
      </c>
    </row>
    <row r="215" spans="1:20" x14ac:dyDescent="0.3">
      <c r="A215" s="275">
        <v>472</v>
      </c>
      <c r="B215" s="157" t="s">
        <v>139</v>
      </c>
      <c r="C215" s="157" t="s">
        <v>351</v>
      </c>
      <c r="D215" s="158" t="s">
        <v>291</v>
      </c>
      <c r="E215" s="423">
        <v>116</v>
      </c>
      <c r="F215" s="419" t="s">
        <v>265</v>
      </c>
      <c r="G215" s="419" t="s">
        <v>241</v>
      </c>
      <c r="H215" s="419" t="s">
        <v>248</v>
      </c>
      <c r="I215" s="419"/>
      <c r="J215" s="419"/>
      <c r="K215" s="154" t="str">
        <f>IF(ISBLANK(E215),"ručně doplnit",IF(E215="-","není ve výkazech",IF(C215="Rozvaha",VLOOKUP(E215,'radky_R'!$A:$B,2,0),IF(C215="Výsledovka",VLOOKUP(E215,'radky_V'!A:M,2,0)))))</f>
        <v>Závazky - podstatný vliv</v>
      </c>
      <c r="R215" s="154" t="str">
        <f>IF(ISBLANK(L215),"není alternativa",IF(L215="-","není ve výkazech",VLOOKUP(L215,'radky_R'!$A:$B,2,0)))</f>
        <v>není alternativa</v>
      </c>
      <c r="S215" s="157" t="s">
        <v>255</v>
      </c>
      <c r="T215" s="157" t="s">
        <v>877</v>
      </c>
    </row>
    <row r="216" spans="1:20" x14ac:dyDescent="0.3">
      <c r="A216" s="275">
        <v>472</v>
      </c>
      <c r="B216" s="157" t="s">
        <v>139</v>
      </c>
      <c r="C216" s="157" t="s">
        <v>351</v>
      </c>
      <c r="D216" s="158" t="s">
        <v>291</v>
      </c>
      <c r="E216" s="423">
        <v>131</v>
      </c>
      <c r="F216" s="419" t="s">
        <v>265</v>
      </c>
      <c r="G216" s="419" t="s">
        <v>251</v>
      </c>
      <c r="H216" s="419" t="s">
        <v>248</v>
      </c>
      <c r="I216" s="419"/>
      <c r="J216" s="419"/>
      <c r="K216" s="154" t="str">
        <f>IF(ISBLANK(E216),"ručně doplnit",IF(E216="-","není ve výkazech",IF(C216="Rozvaha",VLOOKUP(E216,'radky_R'!$A:$B,2,0),IF(C216="Výsledovka",VLOOKUP(E216,'radky_V'!A:M,2,0)))))</f>
        <v>Závazky - podstatný vliv</v>
      </c>
      <c r="R216" s="154" t="str">
        <f>IF(ISBLANK(L216),"není alternativa",IF(L216="-","není ve výkazech",VLOOKUP(L216,'radky_R'!$A:$B,2,0)))</f>
        <v>není alternativa</v>
      </c>
      <c r="S216" s="157" t="s">
        <v>255</v>
      </c>
      <c r="T216" s="157" t="s">
        <v>877</v>
      </c>
    </row>
    <row r="217" spans="1:20" x14ac:dyDescent="0.3">
      <c r="A217" s="275">
        <v>473</v>
      </c>
      <c r="B217" s="157" t="s">
        <v>140</v>
      </c>
      <c r="C217" s="157" t="s">
        <v>351</v>
      </c>
      <c r="D217" s="158" t="s">
        <v>291</v>
      </c>
      <c r="E217" s="423">
        <v>110</v>
      </c>
      <c r="F217" s="419" t="s">
        <v>265</v>
      </c>
      <c r="G217" s="419" t="s">
        <v>241</v>
      </c>
      <c r="H217" s="419" t="s">
        <v>242</v>
      </c>
      <c r="I217" s="419" t="s">
        <v>243</v>
      </c>
      <c r="J217" s="419"/>
      <c r="K217" s="154" t="str">
        <f>IF(ISBLANK(E217),"ručně doplnit",IF(E217="-","není ve výkazech",IF(C217="Rozvaha",VLOOKUP(E217,'radky_R'!$A:$B,2,0),IF(C217="Výsledovka",VLOOKUP(E217,'radky_V'!A:M,2,0)))))</f>
        <v>Ostatní dluhopisy</v>
      </c>
      <c r="R217" s="154" t="str">
        <f>IF(ISBLANK(L217),"není alternativa",IF(L217="-","není ve výkazech",VLOOKUP(L217,'radky_R'!$A:$B,2,0)))</f>
        <v>není alternativa</v>
      </c>
      <c r="S217" s="157" t="s">
        <v>255</v>
      </c>
      <c r="T217" s="157" t="s">
        <v>877</v>
      </c>
    </row>
    <row r="218" spans="1:20" x14ac:dyDescent="0.3">
      <c r="A218" s="275">
        <v>473</v>
      </c>
      <c r="B218" s="157" t="s">
        <v>140</v>
      </c>
      <c r="C218" s="157" t="s">
        <v>351</v>
      </c>
      <c r="D218" s="158" t="s">
        <v>291</v>
      </c>
      <c r="E218" s="423">
        <v>109</v>
      </c>
      <c r="F218" s="419" t="s">
        <v>265</v>
      </c>
      <c r="G218" s="419" t="s">
        <v>241</v>
      </c>
      <c r="H218" s="419" t="s">
        <v>242</v>
      </c>
      <c r="I218" s="419" t="s">
        <v>242</v>
      </c>
      <c r="J218" s="419"/>
      <c r="K218" s="154" t="str">
        <f>IF(ISBLANK(E218),"ručně doplnit",IF(E218="-","není ve výkazech",IF(C218="Rozvaha",VLOOKUP(E218,'radky_R'!$A:$B,2,0),IF(C218="Výsledovka",VLOOKUP(E218,'radky_V'!A:M,2,0)))))</f>
        <v>Vyměnitelné dluhopisy</v>
      </c>
      <c r="R218" s="154" t="str">
        <f>IF(ISBLANK(L218),"není alternativa",IF(L218="-","není ve výkazech",VLOOKUP(L218,'radky_R'!$A:$B,2,0)))</f>
        <v>není alternativa</v>
      </c>
      <c r="S218" s="157" t="s">
        <v>255</v>
      </c>
      <c r="T218" s="157" t="s">
        <v>877</v>
      </c>
    </row>
    <row r="219" spans="1:20" x14ac:dyDescent="0.3">
      <c r="A219" s="275">
        <v>473</v>
      </c>
      <c r="B219" s="157" t="s">
        <v>140</v>
      </c>
      <c r="C219" s="157" t="s">
        <v>351</v>
      </c>
      <c r="D219" s="158" t="s">
        <v>291</v>
      </c>
      <c r="E219" s="423">
        <v>125</v>
      </c>
      <c r="F219" s="419" t="s">
        <v>265</v>
      </c>
      <c r="G219" s="419" t="s">
        <v>251</v>
      </c>
      <c r="H219" s="419" t="s">
        <v>242</v>
      </c>
      <c r="I219" s="419" t="s">
        <v>243</v>
      </c>
      <c r="J219" s="419"/>
      <c r="K219" s="154" t="str">
        <f>IF(ISBLANK(E219),"ručně doplnit",IF(E219="-","není ve výkazech",IF(C219="Rozvaha",VLOOKUP(E219,'radky_R'!$A:$B,2,0),IF(C219="Výsledovka",VLOOKUP(E219,'radky_V'!A:M,2,0)))))</f>
        <v>Ostatní dluhopisy</v>
      </c>
      <c r="R219" s="154" t="str">
        <f>IF(ISBLANK(L219),"není alternativa",IF(L219="-","není ve výkazech",VLOOKUP(L219,'radky_R'!$A:$B,2,0)))</f>
        <v>není alternativa</v>
      </c>
      <c r="S219" s="157" t="s">
        <v>255</v>
      </c>
      <c r="T219" s="157" t="s">
        <v>877</v>
      </c>
    </row>
    <row r="220" spans="1:20" x14ac:dyDescent="0.3">
      <c r="A220" s="275">
        <v>473</v>
      </c>
      <c r="B220" s="157" t="s">
        <v>140</v>
      </c>
      <c r="C220" s="157" t="s">
        <v>351</v>
      </c>
      <c r="D220" s="158" t="s">
        <v>291</v>
      </c>
      <c r="E220" s="423">
        <v>124</v>
      </c>
      <c r="F220" s="419" t="s">
        <v>265</v>
      </c>
      <c r="G220" s="419" t="s">
        <v>251</v>
      </c>
      <c r="H220" s="419" t="s">
        <v>242</v>
      </c>
      <c r="I220" s="419" t="s">
        <v>242</v>
      </c>
      <c r="J220" s="419"/>
      <c r="K220" s="154" t="str">
        <f>IF(ISBLANK(E220),"ručně doplnit",IF(E220="-","není ve výkazech",IF(C220="Rozvaha",VLOOKUP(E220,'radky_R'!$A:$B,2,0),IF(C220="Výsledovka",VLOOKUP(E220,'radky_V'!A:M,2,0)))))</f>
        <v>Vyměnitelné dluhopisy</v>
      </c>
      <c r="R220" s="154" t="str">
        <f>IF(ISBLANK(L220),"není alternativa",IF(L220="-","není ve výkazech",VLOOKUP(L220,'radky_R'!$A:$B,2,0)))</f>
        <v>není alternativa</v>
      </c>
      <c r="S220" s="157" t="s">
        <v>255</v>
      </c>
      <c r="T220" s="157" t="s">
        <v>877</v>
      </c>
    </row>
    <row r="221" spans="1:20" x14ac:dyDescent="0.3">
      <c r="A221" s="275">
        <v>474</v>
      </c>
      <c r="B221" s="157" t="s">
        <v>1040</v>
      </c>
      <c r="C221" s="157" t="s">
        <v>351</v>
      </c>
      <c r="D221" s="158" t="s">
        <v>291</v>
      </c>
      <c r="E221" s="423">
        <v>139</v>
      </c>
      <c r="F221" s="419" t="s">
        <v>265</v>
      </c>
      <c r="G221" s="419" t="s">
        <v>251</v>
      </c>
      <c r="H221" s="419" t="s">
        <v>249</v>
      </c>
      <c r="I221" s="419" t="s">
        <v>248</v>
      </c>
      <c r="J221" s="419"/>
      <c r="K221" s="154" t="str">
        <f>IF(ISBLANK(E221),"ručně doplnit",IF(E221="-","není ve výkazech",IF(C221="Rozvaha",VLOOKUP(E221,'radky_R'!$A:$B,2,0),IF(C221="Výsledovka",VLOOKUP(E221,'radky_V'!A:M,2,0)))))</f>
        <v>Jiné závazky</v>
      </c>
      <c r="R221" s="154" t="str">
        <f>IF(ISBLANK(L221),"není alternativa",IF(L221="-","není ve výkazech",VLOOKUP(L221,'radky_R'!$A:$B,2,0)))</f>
        <v>není alternativa</v>
      </c>
      <c r="S221" s="157" t="s">
        <v>255</v>
      </c>
      <c r="T221" s="157" t="s">
        <v>880</v>
      </c>
    </row>
    <row r="222" spans="1:20" x14ac:dyDescent="0.3">
      <c r="A222" s="275">
        <v>474</v>
      </c>
      <c r="B222" s="157" t="s">
        <v>1040</v>
      </c>
      <c r="C222" s="157" t="s">
        <v>351</v>
      </c>
      <c r="D222" s="158" t="s">
        <v>291</v>
      </c>
      <c r="E222" s="423">
        <v>121</v>
      </c>
      <c r="F222" s="419" t="s">
        <v>265</v>
      </c>
      <c r="G222" s="419" t="s">
        <v>241</v>
      </c>
      <c r="H222" s="419" t="s">
        <v>252</v>
      </c>
      <c r="I222" s="419" t="s">
        <v>244</v>
      </c>
      <c r="J222" s="419"/>
      <c r="K222" s="154" t="str">
        <f>IF(ISBLANK(E222),"ručně doplnit",IF(E222="-","není ve výkazech",IF(C222="Rozvaha",VLOOKUP(E222,'radky_R'!$A:$B,2,0),IF(C222="Výsledovka",VLOOKUP(E222,'radky_V'!A:M,2,0)))))</f>
        <v>Jiné závazky</v>
      </c>
      <c r="R222" s="154" t="str">
        <f>IF(ISBLANK(L222),"není alternativa",IF(L222="-","není ve výkazech",VLOOKUP(L222,'radky_R'!$A:$B,2,0)))</f>
        <v>není alternativa</v>
      </c>
      <c r="S222" s="157" t="s">
        <v>255</v>
      </c>
      <c r="T222" s="157" t="s">
        <v>880</v>
      </c>
    </row>
    <row r="223" spans="1:20" x14ac:dyDescent="0.3">
      <c r="A223" s="275">
        <v>475</v>
      </c>
      <c r="B223" s="157" t="s">
        <v>141</v>
      </c>
      <c r="C223" s="157" t="s">
        <v>351</v>
      </c>
      <c r="D223" s="158" t="s">
        <v>291</v>
      </c>
      <c r="E223" s="423">
        <v>112</v>
      </c>
      <c r="F223" s="419" t="s">
        <v>265</v>
      </c>
      <c r="G223" s="419" t="s">
        <v>241</v>
      </c>
      <c r="H223" s="424" t="s">
        <v>244</v>
      </c>
      <c r="I223" s="424"/>
      <c r="J223" s="424"/>
      <c r="K223" s="154" t="str">
        <f>IF(ISBLANK(E223),"ručně doplnit",IF(E223="-","není ve výkazech",IF(C223="Rozvaha",VLOOKUP(E223,'radky_R'!$A:$B,2,0),IF(C223="Výsledovka",VLOOKUP(E223,'radky_V'!A:M,2,0)))))</f>
        <v>Dlouhodobé přijaté zálohy</v>
      </c>
      <c r="R223" s="154" t="str">
        <f>IF(ISBLANK(L223),"není alternativa",IF(L223="-","není ve výkazech",VLOOKUP(L223,'radky_R'!$A:$B,2,0)))</f>
        <v>není alternativa</v>
      </c>
      <c r="S223" s="157" t="s">
        <v>255</v>
      </c>
      <c r="T223" s="157" t="s">
        <v>877</v>
      </c>
    </row>
    <row r="224" spans="1:20" x14ac:dyDescent="0.3">
      <c r="A224" s="275">
        <v>475</v>
      </c>
      <c r="B224" s="157" t="s">
        <v>141</v>
      </c>
      <c r="C224" s="157" t="s">
        <v>351</v>
      </c>
      <c r="D224" s="158" t="s">
        <v>291</v>
      </c>
      <c r="E224" s="423">
        <v>127</v>
      </c>
      <c r="F224" s="419" t="s">
        <v>265</v>
      </c>
      <c r="G224" s="419" t="s">
        <v>251</v>
      </c>
      <c r="H224" s="424" t="s">
        <v>244</v>
      </c>
      <c r="I224" s="424"/>
      <c r="J224" s="424"/>
      <c r="K224" s="154" t="str">
        <f>IF(ISBLANK(E224),"ručně doplnit",IF(E224="-","není ve výkazech",IF(C224="Rozvaha",VLOOKUP(E224,'radky_R'!$A:$B,2,0),IF(C224="Výsledovka",VLOOKUP(E224,'radky_V'!A:M,2,0)))))</f>
        <v>Krátkodobé přijaté zálohy</v>
      </c>
      <c r="R224" s="154" t="str">
        <f>IF(ISBLANK(L224),"není alternativa",IF(L224="-","není ve výkazech",VLOOKUP(L224,'radky_R'!$A:$B,2,0)))</f>
        <v>není alternativa</v>
      </c>
      <c r="S224" s="157" t="s">
        <v>255</v>
      </c>
      <c r="T224" s="157" t="s">
        <v>877</v>
      </c>
    </row>
    <row r="225" spans="1:20" x14ac:dyDescent="0.3">
      <c r="A225" s="275">
        <v>478</v>
      </c>
      <c r="B225" s="157" t="s">
        <v>142</v>
      </c>
      <c r="C225" s="157" t="s">
        <v>351</v>
      </c>
      <c r="D225" s="158" t="s">
        <v>291</v>
      </c>
      <c r="E225" s="423">
        <v>129</v>
      </c>
      <c r="F225" s="419" t="s">
        <v>265</v>
      </c>
      <c r="G225" s="419" t="s">
        <v>251</v>
      </c>
      <c r="H225" s="424" t="s">
        <v>246</v>
      </c>
      <c r="I225" s="419"/>
      <c r="J225" s="419"/>
      <c r="K225" s="154" t="str">
        <f>IF(ISBLANK(E225),"ručně doplnit",IF(E225="-","není ve výkazech",IF(C225="Rozvaha",VLOOKUP(E225,'radky_R'!$A:$B,2,0),IF(C225="Výsledovka",VLOOKUP(E225,'radky_V'!A:M,2,0)))))</f>
        <v>Krátkodobé směnky k úhradě</v>
      </c>
      <c r="R225" s="154" t="str">
        <f>IF(ISBLANK(L225),"není alternativa",IF(L225="-","není ve výkazech",VLOOKUP(L225,'radky_R'!$A:$B,2,0)))</f>
        <v>není alternativa</v>
      </c>
      <c r="S225" s="157" t="s">
        <v>255</v>
      </c>
      <c r="T225" s="157" t="s">
        <v>877</v>
      </c>
    </row>
    <row r="226" spans="1:20" x14ac:dyDescent="0.3">
      <c r="A226" s="275">
        <v>478</v>
      </c>
      <c r="B226" s="157" t="s">
        <v>142</v>
      </c>
      <c r="C226" s="157" t="s">
        <v>351</v>
      </c>
      <c r="D226" s="158" t="s">
        <v>291</v>
      </c>
      <c r="E226" s="423">
        <v>114</v>
      </c>
      <c r="F226" s="419" t="s">
        <v>265</v>
      </c>
      <c r="G226" s="419" t="s">
        <v>241</v>
      </c>
      <c r="H226" s="424" t="s">
        <v>246</v>
      </c>
      <c r="I226" s="419"/>
      <c r="J226" s="419"/>
      <c r="K226" s="154" t="str">
        <f>IF(ISBLANK(E226),"ručně doplnit",IF(E226="-","není ve výkazech",IF(C226="Rozvaha",VLOOKUP(E226,'radky_R'!$A:$B,2,0),IF(C226="Výsledovka",VLOOKUP(E226,'radky_V'!A:M,2,0)))))</f>
        <v>Dlouhodobé směnky k úhradě</v>
      </c>
      <c r="R226" s="154" t="str">
        <f>IF(ISBLANK(L226),"není alternativa",IF(L226="-","není ve výkazech",VLOOKUP(L226,'radky_R'!$A:$B,2,0)))</f>
        <v>není alternativa</v>
      </c>
      <c r="S226" s="157" t="s">
        <v>255</v>
      </c>
      <c r="T226" s="157" t="s">
        <v>877</v>
      </c>
    </row>
    <row r="227" spans="1:20" x14ac:dyDescent="0.3">
      <c r="A227" s="275">
        <v>479</v>
      </c>
      <c r="B227" s="157" t="s">
        <v>143</v>
      </c>
      <c r="C227" s="157" t="s">
        <v>351</v>
      </c>
      <c r="D227" s="158" t="s">
        <v>291</v>
      </c>
      <c r="E227" s="423">
        <v>121</v>
      </c>
      <c r="F227" s="419" t="s">
        <v>265</v>
      </c>
      <c r="G227" s="419" t="s">
        <v>241</v>
      </c>
      <c r="H227" s="419" t="s">
        <v>252</v>
      </c>
      <c r="I227" s="419" t="s">
        <v>244</v>
      </c>
      <c r="J227" s="419"/>
      <c r="K227" s="154" t="str">
        <f>IF(ISBLANK(E227),"ručně doplnit",IF(E227="-","není ve výkazech",IF(C227="Rozvaha",VLOOKUP(E227,'radky_R'!$A:$B,2,0),IF(C227="Výsledovka",VLOOKUP(E227,'radky_V'!A:M,2,0)))))</f>
        <v>Jiné závazky</v>
      </c>
      <c r="R227" s="154" t="str">
        <f>IF(ISBLANK(L227),"není alternativa",IF(L227="-","není ve výkazech",VLOOKUP(L227,'radky_R'!$A:$B,2,0)))</f>
        <v>není alternativa</v>
      </c>
      <c r="S227" s="157" t="s">
        <v>255</v>
      </c>
      <c r="T227" s="157" t="s">
        <v>877</v>
      </c>
    </row>
    <row r="228" spans="1:20" x14ac:dyDescent="0.3">
      <c r="A228" s="275">
        <v>479</v>
      </c>
      <c r="B228" s="157" t="s">
        <v>143</v>
      </c>
      <c r="C228" s="157" t="s">
        <v>351</v>
      </c>
      <c r="D228" s="158" t="s">
        <v>291</v>
      </c>
      <c r="E228" s="423">
        <v>128</v>
      </c>
      <c r="F228" s="419" t="s">
        <v>265</v>
      </c>
      <c r="G228" s="419" t="s">
        <v>251</v>
      </c>
      <c r="H228" s="419" t="s">
        <v>245</v>
      </c>
      <c r="I228" s="419"/>
      <c r="J228" s="419"/>
      <c r="K228" s="154" t="str">
        <f>IF(ISBLANK(E228),"ručně doplnit",IF(E228="-","není ve výkazech",IF(C228="Rozvaha",VLOOKUP(E228,'radky_R'!$A:$B,2,0),IF(C228="Výsledovka",VLOOKUP(E228,'radky_V'!A:M,2,0)))))</f>
        <v>Závazky z obchodních vztahů</v>
      </c>
      <c r="R228" s="154" t="str">
        <f>IF(ISBLANK(L228),"není alternativa",IF(L228="-","není ve výkazech",VLOOKUP(L228,'radky_R'!$A:$B,2,0)))</f>
        <v>není alternativa</v>
      </c>
      <c r="S228" s="157" t="s">
        <v>255</v>
      </c>
      <c r="T228" s="157" t="s">
        <v>877</v>
      </c>
    </row>
    <row r="229" spans="1:20" x14ac:dyDescent="0.3">
      <c r="A229" s="275">
        <v>479</v>
      </c>
      <c r="B229" s="157" t="s">
        <v>143</v>
      </c>
      <c r="C229" s="157" t="s">
        <v>351</v>
      </c>
      <c r="D229" s="158" t="s">
        <v>291</v>
      </c>
      <c r="E229" s="423">
        <v>135</v>
      </c>
      <c r="F229" s="419" t="s">
        <v>265</v>
      </c>
      <c r="G229" s="419" t="s">
        <v>251</v>
      </c>
      <c r="H229" s="419" t="s">
        <v>249</v>
      </c>
      <c r="I229" s="419" t="s">
        <v>244</v>
      </c>
      <c r="J229" s="419"/>
      <c r="K229" s="154" t="str">
        <f>IF(ISBLANK(E229),"ručně doplnit",IF(E229="-","není ve výkazech",IF(C229="Rozvaha",VLOOKUP(E229,'radky_R'!$A:$B,2,0),IF(C229="Výsledovka",VLOOKUP(E229,'radky_V'!A:M,2,0)))))</f>
        <v>Závazky k zaměstnancům</v>
      </c>
      <c r="R229" s="154" t="str">
        <f>IF(ISBLANK(L229),"není alternativa",IF(L229="-","není ve výkazech",VLOOKUP(L229,'radky_R'!$A:$B,2,0)))</f>
        <v>není alternativa</v>
      </c>
      <c r="S229" s="157" t="s">
        <v>255</v>
      </c>
      <c r="T229" s="157" t="s">
        <v>877</v>
      </c>
    </row>
    <row r="230" spans="1:20" x14ac:dyDescent="0.3">
      <c r="A230" s="275">
        <v>479</v>
      </c>
      <c r="B230" s="157" t="s">
        <v>143</v>
      </c>
      <c r="C230" s="157" t="s">
        <v>351</v>
      </c>
      <c r="D230" s="158" t="s">
        <v>291</v>
      </c>
      <c r="E230" s="423">
        <v>139</v>
      </c>
      <c r="F230" s="419" t="s">
        <v>265</v>
      </c>
      <c r="G230" s="419" t="s">
        <v>251</v>
      </c>
      <c r="H230" s="419" t="s">
        <v>249</v>
      </c>
      <c r="I230" s="419" t="s">
        <v>248</v>
      </c>
      <c r="J230" s="419"/>
      <c r="K230" s="154" t="str">
        <f>IF(ISBLANK(E230),"ručně doplnit",IF(E230="-","není ve výkazech",IF(C230="Rozvaha",VLOOKUP(E230,'radky_R'!$A:$B,2,0),IF(C230="Výsledovka",VLOOKUP(E230,'radky_V'!A:M,2,0)))))</f>
        <v>Jiné závazky</v>
      </c>
      <c r="R230" s="154" t="str">
        <f>IF(ISBLANK(L230),"není alternativa",IF(L230="-","není ve výkazech",VLOOKUP(L230,'radky_R'!$A:$B,2,0)))</f>
        <v>není alternativa</v>
      </c>
      <c r="S230" s="157" t="s">
        <v>255</v>
      </c>
      <c r="T230" s="157" t="s">
        <v>877</v>
      </c>
    </row>
    <row r="231" spans="1:20" x14ac:dyDescent="0.3">
      <c r="A231" s="275">
        <v>479</v>
      </c>
      <c r="B231" s="157" t="s">
        <v>143</v>
      </c>
      <c r="C231" s="157" t="s">
        <v>351</v>
      </c>
      <c r="D231" s="158" t="s">
        <v>291</v>
      </c>
      <c r="E231" s="423">
        <v>113</v>
      </c>
      <c r="F231" s="419" t="s">
        <v>265</v>
      </c>
      <c r="G231" s="419" t="s">
        <v>241</v>
      </c>
      <c r="H231" s="419" t="s">
        <v>245</v>
      </c>
      <c r="I231" s="419"/>
      <c r="J231" s="419"/>
      <c r="K231" s="154" t="str">
        <f>IF(ISBLANK(E231),"ručně doplnit",IF(E231="-","není ve výkazech",IF(C231="Rozvaha",VLOOKUP(E231,'radky_R'!$A:$B,2,0),IF(C231="Výsledovka",VLOOKUP(E231,'radky_V'!A:M,2,0)))))</f>
        <v>Závazky z obchodních vztahů</v>
      </c>
      <c r="R231" s="154" t="str">
        <f>IF(ISBLANK(L231),"není alternativa",IF(L231="-","není ve výkazech",VLOOKUP(L231,'radky_R'!$A:$B,2,0)))</f>
        <v>není alternativa</v>
      </c>
      <c r="S231" s="157" t="s">
        <v>255</v>
      </c>
      <c r="T231" s="157" t="s">
        <v>877</v>
      </c>
    </row>
    <row r="232" spans="1:20" x14ac:dyDescent="0.3">
      <c r="A232" s="275">
        <v>481</v>
      </c>
      <c r="B232" s="157" t="s">
        <v>144</v>
      </c>
      <c r="C232" s="157" t="s">
        <v>351</v>
      </c>
      <c r="D232" s="158" t="s">
        <v>318</v>
      </c>
      <c r="E232" s="423">
        <v>51</v>
      </c>
      <c r="F232" s="419" t="s">
        <v>265</v>
      </c>
      <c r="G232" s="419" t="s">
        <v>251</v>
      </c>
      <c r="H232" s="419" t="s">
        <v>242</v>
      </c>
      <c r="I232" s="419" t="s">
        <v>245</v>
      </c>
      <c r="J232" s="419"/>
      <c r="K232" s="154" t="str">
        <f>IF(ISBLANK(E232),"ručně doplnit",IF(E232="-","není ve výkazech",IF(C232="Rozvaha",VLOOKUP(E232,'radky_R'!$A:$B,2,0),IF(C232="Výsledovka",VLOOKUP(E232,'radky_V'!A:M,2,0)))))</f>
        <v>Odložená daňová pohledávka</v>
      </c>
      <c r="L232" s="423">
        <v>117</v>
      </c>
      <c r="M232" s="419" t="s">
        <v>265</v>
      </c>
      <c r="N232" s="419" t="s">
        <v>241</v>
      </c>
      <c r="O232" s="419" t="s">
        <v>249</v>
      </c>
      <c r="P232" s="419"/>
      <c r="Q232" s="419"/>
      <c r="R232" s="154" t="str">
        <f>IF(ISBLANK(L232),"není alternativa",IF(L232="-","není ve výkazech",VLOOKUP(L232,'radky_R'!$A:$B,2,0)))</f>
        <v>Odložený daňový závazek</v>
      </c>
      <c r="S232" s="157" t="s">
        <v>255</v>
      </c>
      <c r="T232" s="157" t="s">
        <v>882</v>
      </c>
    </row>
    <row r="233" spans="1:20" x14ac:dyDescent="0.3">
      <c r="A233" s="275">
        <v>491</v>
      </c>
      <c r="B233" s="157" t="s">
        <v>145</v>
      </c>
      <c r="C233" s="157" t="s">
        <v>351</v>
      </c>
      <c r="D233" s="158" t="s">
        <v>291</v>
      </c>
      <c r="E233" s="423">
        <v>81</v>
      </c>
      <c r="F233" s="419" t="s">
        <v>239</v>
      </c>
      <c r="G233" s="419" t="s">
        <v>241</v>
      </c>
      <c r="H233" s="419" t="s">
        <v>242</v>
      </c>
      <c r="I233" s="419"/>
      <c r="J233" s="419"/>
      <c r="K233" s="154" t="str">
        <f>IF(ISBLANK(E233),"ručně doplnit",IF(E233="-","není ve výkazech",IF(C233="Rozvaha",VLOOKUP(E233,'radky_R'!$A:$B,2,0),IF(C233="Výsledovka",VLOOKUP(E233,'radky_V'!A:M,2,0)))))</f>
        <v>Základní kapitál</v>
      </c>
      <c r="R233" s="154" t="str">
        <f>IF(ISBLANK(L233),"není alternativa",IF(L233="-","není ve výkazech",VLOOKUP(L233,'radky_R'!$A:$B,2,0)))</f>
        <v>není alternativa</v>
      </c>
      <c r="S233" s="157" t="s">
        <v>255</v>
      </c>
      <c r="T233" s="157" t="s">
        <v>877</v>
      </c>
    </row>
    <row r="234" spans="1:20" x14ac:dyDescent="0.3">
      <c r="A234" s="275">
        <v>501</v>
      </c>
      <c r="B234" s="157" t="s">
        <v>146</v>
      </c>
      <c r="C234" s="157" t="s">
        <v>512</v>
      </c>
      <c r="D234" s="158" t="s">
        <v>319</v>
      </c>
      <c r="E234" s="423">
        <v>5</v>
      </c>
      <c r="F234" s="419" t="s">
        <v>239</v>
      </c>
      <c r="G234" s="419" t="s">
        <v>243</v>
      </c>
      <c r="H234" s="419"/>
      <c r="I234" s="419"/>
      <c r="J234" s="419"/>
      <c r="K234" s="154" t="str">
        <f>IF(ISBLANK(E234),"ručně doplnit",IF(E234="-","není ve výkazech",IF(C234="Rozvaha",VLOOKUP(E234,'radky_R'!$A:$B,2,0),IF(C234="Výsledovka",VLOOKUP(E234,'radky_V'!A:M,2,0)))))</f>
        <v>Spotřeba materiálu a energie</v>
      </c>
      <c r="R234" s="154" t="str">
        <f>IF(ISBLANK(L234),"není alternativa",IF(L234="-","není ve výkazech",VLOOKUP(L234,'radky_R'!$A:$B,2,0)))</f>
        <v>není alternativa</v>
      </c>
      <c r="S234" s="157" t="s">
        <v>262</v>
      </c>
      <c r="T234" s="157" t="s">
        <v>880</v>
      </c>
    </row>
    <row r="235" spans="1:20" x14ac:dyDescent="0.3">
      <c r="A235" s="275">
        <v>502</v>
      </c>
      <c r="B235" s="157" t="s">
        <v>147</v>
      </c>
      <c r="C235" s="157" t="s">
        <v>512</v>
      </c>
      <c r="D235" s="158" t="s">
        <v>319</v>
      </c>
      <c r="E235" s="423">
        <v>5</v>
      </c>
      <c r="F235" s="419" t="s">
        <v>239</v>
      </c>
      <c r="G235" s="419" t="s">
        <v>243</v>
      </c>
      <c r="H235" s="419"/>
      <c r="I235" s="419"/>
      <c r="J235" s="419"/>
      <c r="K235" s="154" t="str">
        <f>IF(ISBLANK(E235),"ručně doplnit",IF(E235="-","není ve výkazech",IF(C235="Rozvaha",VLOOKUP(E235,'radky_R'!$A:$B,2,0),IF(C235="Výsledovka",VLOOKUP(E235,'radky_V'!A:M,2,0)))))</f>
        <v>Spotřeba materiálu a energie</v>
      </c>
      <c r="R235" s="154" t="str">
        <f>IF(ISBLANK(L235),"není alternativa",IF(L235="-","není ve výkazech",VLOOKUP(L235,'radky_R'!$A:$B,2,0)))</f>
        <v>není alternativa</v>
      </c>
      <c r="S235" s="157" t="s">
        <v>262</v>
      </c>
      <c r="T235" s="157" t="s">
        <v>880</v>
      </c>
    </row>
    <row r="236" spans="1:20" x14ac:dyDescent="0.3">
      <c r="A236" s="275">
        <v>503</v>
      </c>
      <c r="B236" s="157" t="s">
        <v>148</v>
      </c>
      <c r="C236" s="157" t="s">
        <v>512</v>
      </c>
      <c r="D236" s="158" t="s">
        <v>319</v>
      </c>
      <c r="E236" s="423">
        <v>5</v>
      </c>
      <c r="F236" s="419" t="s">
        <v>239</v>
      </c>
      <c r="G236" s="419" t="s">
        <v>243</v>
      </c>
      <c r="H236" s="419"/>
      <c r="I236" s="419"/>
      <c r="J236" s="419"/>
      <c r="K236" s="154" t="str">
        <f>IF(ISBLANK(E236),"ručně doplnit",IF(E236="-","není ve výkazech",IF(C236="Rozvaha",VLOOKUP(E236,'radky_R'!$A:$B,2,0),IF(C236="Výsledovka",VLOOKUP(E236,'radky_V'!A:M,2,0)))))</f>
        <v>Spotřeba materiálu a energie</v>
      </c>
      <c r="R236" s="154" t="str">
        <f>IF(ISBLANK(L236),"není alternativa",IF(L236="-","není ve výkazech",VLOOKUP(L236,'radky_R'!$A:$B,2,0)))</f>
        <v>není alternativa</v>
      </c>
      <c r="S236" s="157" t="s">
        <v>262</v>
      </c>
      <c r="T236" s="157" t="s">
        <v>880</v>
      </c>
    </row>
    <row r="237" spans="1:20" x14ac:dyDescent="0.3">
      <c r="A237" s="275">
        <v>504</v>
      </c>
      <c r="B237" s="157" t="s">
        <v>149</v>
      </c>
      <c r="C237" s="157" t="s">
        <v>512</v>
      </c>
      <c r="D237" s="158" t="s">
        <v>319</v>
      </c>
      <c r="E237" s="423">
        <v>4</v>
      </c>
      <c r="F237" s="419" t="s">
        <v>239</v>
      </c>
      <c r="G237" s="419" t="s">
        <v>242</v>
      </c>
      <c r="H237" s="419"/>
      <c r="I237" s="419"/>
      <c r="J237" s="419"/>
      <c r="K237" s="154" t="str">
        <f>IF(ISBLANK(E237),"ručně doplnit",IF(E237="-","není ve výkazech",IF(C237="Rozvaha",VLOOKUP(E237,'radky_R'!$A:$B,2,0),IF(C237="Výsledovka",VLOOKUP(E237,'radky_V'!A:M,2,0)))))</f>
        <v>Náklady vynaložené na prodané zboží</v>
      </c>
      <c r="R237" s="154" t="str">
        <f>IF(ISBLANK(L237),"není alternativa",IF(L237="-","není ve výkazech",VLOOKUP(L237,'radky_R'!$A:$B,2,0)))</f>
        <v>není alternativa</v>
      </c>
      <c r="S237" s="157" t="s">
        <v>262</v>
      </c>
      <c r="T237" s="157" t="s">
        <v>880</v>
      </c>
    </row>
    <row r="238" spans="1:20" x14ac:dyDescent="0.3">
      <c r="A238" s="275">
        <v>510</v>
      </c>
      <c r="B238" s="157" t="s">
        <v>150</v>
      </c>
      <c r="C238" s="157" t="s">
        <v>512</v>
      </c>
      <c r="D238" s="158" t="s">
        <v>319</v>
      </c>
      <c r="E238" s="423">
        <v>6</v>
      </c>
      <c r="F238" s="419" t="s">
        <v>239</v>
      </c>
      <c r="G238" s="419" t="s">
        <v>244</v>
      </c>
      <c r="H238" s="419"/>
      <c r="I238" s="419"/>
      <c r="J238" s="419"/>
      <c r="K238" s="154" t="str">
        <f>IF(ISBLANK(E238),"ručně doplnit",IF(E238="-","není ve výkazech",IF(C238="Rozvaha",VLOOKUP(E238,'radky_R'!$A:$B,2,0),IF(C238="Výsledovka",VLOOKUP(E238,'radky_V'!A:M,2,0)))))</f>
        <v>Služby</v>
      </c>
      <c r="R238" s="154" t="str">
        <f>IF(ISBLANK(L238),"není alternativa",IF(L238="-","není ve výkazech",VLOOKUP(L238,'radky_R'!$A:$B,2,0)))</f>
        <v>není alternativa</v>
      </c>
      <c r="S238" s="157" t="s">
        <v>262</v>
      </c>
      <c r="T238" s="157" t="s">
        <v>880</v>
      </c>
    </row>
    <row r="239" spans="1:20" x14ac:dyDescent="0.3">
      <c r="A239" s="275">
        <v>511</v>
      </c>
      <c r="B239" s="157" t="s">
        <v>151</v>
      </c>
      <c r="C239" s="157" t="s">
        <v>512</v>
      </c>
      <c r="D239" s="158" t="s">
        <v>319</v>
      </c>
      <c r="E239" s="423">
        <v>6</v>
      </c>
      <c r="F239" s="419" t="s">
        <v>239</v>
      </c>
      <c r="G239" s="419" t="s">
        <v>244</v>
      </c>
      <c r="H239" s="419"/>
      <c r="I239" s="419"/>
      <c r="J239" s="419"/>
      <c r="K239" s="154" t="str">
        <f>IF(ISBLANK(E239),"ručně doplnit",IF(E239="-","není ve výkazech",IF(C239="Rozvaha",VLOOKUP(E239,'radky_R'!$A:$B,2,0),IF(C239="Výsledovka",VLOOKUP(E239,'radky_V'!A:M,2,0)))))</f>
        <v>Služby</v>
      </c>
      <c r="R239" s="154" t="str">
        <f>IF(ISBLANK(L239),"není alternativa",IF(L239="-","není ve výkazech",VLOOKUP(L239,'radky_R'!$A:$B,2,0)))</f>
        <v>není alternativa</v>
      </c>
      <c r="S239" s="157" t="s">
        <v>262</v>
      </c>
      <c r="T239" s="157" t="s">
        <v>876</v>
      </c>
    </row>
    <row r="240" spans="1:20" x14ac:dyDescent="0.3">
      <c r="A240" s="275">
        <v>512</v>
      </c>
      <c r="B240" s="157" t="s">
        <v>152</v>
      </c>
      <c r="C240" s="157" t="s">
        <v>512</v>
      </c>
      <c r="D240" s="158" t="s">
        <v>319</v>
      </c>
      <c r="E240" s="423">
        <v>6</v>
      </c>
      <c r="F240" s="419" t="s">
        <v>239</v>
      </c>
      <c r="G240" s="419" t="s">
        <v>244</v>
      </c>
      <c r="H240" s="419"/>
      <c r="I240" s="419"/>
      <c r="J240" s="419"/>
      <c r="K240" s="154" t="str">
        <f>IF(ISBLANK(E240),"ručně doplnit",IF(E240="-","není ve výkazech",IF(C240="Rozvaha",VLOOKUP(E240,'radky_R'!$A:$B,2,0),IF(C240="Výsledovka",VLOOKUP(E240,'radky_V'!A:M,2,0)))))</f>
        <v>Služby</v>
      </c>
      <c r="R240" s="154" t="str">
        <f>IF(ISBLANK(L240),"není alternativa",IF(L240="-","není ve výkazech",VLOOKUP(L240,'radky_R'!$A:$B,2,0)))</f>
        <v>není alternativa</v>
      </c>
      <c r="S240" s="157" t="s">
        <v>262</v>
      </c>
      <c r="T240" s="157" t="s">
        <v>881</v>
      </c>
    </row>
    <row r="241" spans="1:20" x14ac:dyDescent="0.3">
      <c r="A241" s="275">
        <v>513</v>
      </c>
      <c r="B241" s="157" t="s">
        <v>153</v>
      </c>
      <c r="C241" s="157" t="s">
        <v>512</v>
      </c>
      <c r="D241" s="158" t="s">
        <v>304</v>
      </c>
      <c r="E241" s="423">
        <v>6</v>
      </c>
      <c r="F241" s="419" t="s">
        <v>239</v>
      </c>
      <c r="G241" s="419" t="s">
        <v>244</v>
      </c>
      <c r="H241" s="419"/>
      <c r="I241" s="419"/>
      <c r="J241" s="419"/>
      <c r="K241" s="154" t="str">
        <f>IF(ISBLANK(E241),"ručně doplnit",IF(E241="-","není ve výkazech",IF(C241="Rozvaha",VLOOKUP(E241,'radky_R'!$A:$B,2,0),IF(C241="Výsledovka",VLOOKUP(E241,'radky_V'!A:M,2,0)))))</f>
        <v>Služby</v>
      </c>
      <c r="R241" s="154" t="str">
        <f>IF(ISBLANK(L241),"není alternativa",IF(L241="-","není ve výkazech",VLOOKUP(L241,'radky_R'!$A:$B,2,0)))</f>
        <v>není alternativa</v>
      </c>
      <c r="S241" s="157" t="s">
        <v>262</v>
      </c>
      <c r="T241" s="157" t="s">
        <v>880</v>
      </c>
    </row>
    <row r="242" spans="1:20" x14ac:dyDescent="0.3">
      <c r="A242" s="275">
        <v>518</v>
      </c>
      <c r="B242" s="157" t="s">
        <v>154</v>
      </c>
      <c r="C242" s="157" t="s">
        <v>512</v>
      </c>
      <c r="D242" s="158" t="s">
        <v>319</v>
      </c>
      <c r="E242" s="423">
        <v>6</v>
      </c>
      <c r="F242" s="419" t="s">
        <v>239</v>
      </c>
      <c r="G242" s="419" t="s">
        <v>244</v>
      </c>
      <c r="H242" s="419"/>
      <c r="I242" s="419"/>
      <c r="J242" s="419"/>
      <c r="K242" s="154" t="str">
        <f>IF(ISBLANK(E242),"ručně doplnit",IF(E242="-","není ve výkazech",IF(C242="Rozvaha",VLOOKUP(E242,'radky_R'!$A:$B,2,0),IF(C242="Výsledovka",VLOOKUP(E242,'radky_V'!A:M,2,0)))))</f>
        <v>Služby</v>
      </c>
      <c r="R242" s="154" t="str">
        <f>IF(ISBLANK(L242),"není alternativa",IF(L242="-","není ve výkazech",VLOOKUP(L242,'radky_R'!$A:$B,2,0)))</f>
        <v>není alternativa</v>
      </c>
      <c r="S242" s="157" t="s">
        <v>262</v>
      </c>
      <c r="T242" s="157" t="s">
        <v>880</v>
      </c>
    </row>
    <row r="243" spans="1:20" x14ac:dyDescent="0.3">
      <c r="A243" s="275">
        <v>521</v>
      </c>
      <c r="B243" s="157" t="s">
        <v>155</v>
      </c>
      <c r="C243" s="157" t="s">
        <v>512</v>
      </c>
      <c r="D243" s="158" t="s">
        <v>319</v>
      </c>
      <c r="E243" s="423">
        <v>10</v>
      </c>
      <c r="F243" s="419" t="s">
        <v>274</v>
      </c>
      <c r="G243" s="419" t="s">
        <v>242</v>
      </c>
      <c r="H243" s="419"/>
      <c r="I243" s="419"/>
      <c r="J243" s="419"/>
      <c r="K243" s="154" t="str">
        <f>IF(ISBLANK(E243),"ručně doplnit",IF(E243="-","není ve výkazech",IF(C243="Rozvaha",VLOOKUP(E243,'radky_R'!$A:$B,2,0),IF(C243="Výsledovka",VLOOKUP(E243,'radky_V'!A:M,2,0)))))</f>
        <v>Mzdové náklady</v>
      </c>
      <c r="R243" s="154" t="str">
        <f>IF(ISBLANK(L243),"není alternativa",IF(L243="-","není ve výkazech",VLOOKUP(L243,'radky_R'!$A:$B,2,0)))</f>
        <v>není alternativa</v>
      </c>
      <c r="S243" s="157" t="s">
        <v>262</v>
      </c>
      <c r="T243" s="157" t="s">
        <v>881</v>
      </c>
    </row>
    <row r="244" spans="1:20" x14ac:dyDescent="0.3">
      <c r="A244" s="275">
        <v>522</v>
      </c>
      <c r="B244" s="157" t="s">
        <v>156</v>
      </c>
      <c r="C244" s="157" t="s">
        <v>512</v>
      </c>
      <c r="D244" s="158" t="s">
        <v>319</v>
      </c>
      <c r="E244" s="423">
        <v>10</v>
      </c>
      <c r="F244" s="419" t="s">
        <v>274</v>
      </c>
      <c r="G244" s="419" t="s">
        <v>242</v>
      </c>
      <c r="H244" s="419"/>
      <c r="I244" s="419"/>
      <c r="J244" s="419"/>
      <c r="K244" s="154" t="str">
        <f>IF(ISBLANK(E244),"ručně doplnit",IF(E244="-","není ve výkazech",IF(C244="Rozvaha",VLOOKUP(E244,'radky_R'!$A:$B,2,0),IF(C244="Výsledovka",VLOOKUP(E244,'radky_V'!A:M,2,0)))))</f>
        <v>Mzdové náklady</v>
      </c>
      <c r="R244" s="154" t="str">
        <f>IF(ISBLANK(L244),"není alternativa",IF(L244="-","není ve výkazech",VLOOKUP(L244,'radky_R'!$A:$B,2,0)))</f>
        <v>není alternativa</v>
      </c>
      <c r="S244" s="157" t="s">
        <v>262</v>
      </c>
      <c r="T244" s="157" t="s">
        <v>881</v>
      </c>
    </row>
    <row r="245" spans="1:20" x14ac:dyDescent="0.3">
      <c r="A245" s="275">
        <v>523</v>
      </c>
      <c r="B245" s="157" t="s">
        <v>157</v>
      </c>
      <c r="C245" s="157" t="s">
        <v>512</v>
      </c>
      <c r="D245" s="158" t="s">
        <v>304</v>
      </c>
      <c r="E245" s="423">
        <v>10</v>
      </c>
      <c r="F245" s="419" t="s">
        <v>274</v>
      </c>
      <c r="G245" s="419" t="s">
        <v>242</v>
      </c>
      <c r="H245" s="419"/>
      <c r="I245" s="419"/>
      <c r="J245" s="419"/>
      <c r="K245" s="154" t="str">
        <f>IF(ISBLANK(E245),"ručně doplnit",IF(E245="-","není ve výkazech",IF(C245="Rozvaha",VLOOKUP(E245,'radky_R'!$A:$B,2,0),IF(C245="Výsledovka",VLOOKUP(E245,'radky_V'!A:M,2,0)))))</f>
        <v>Mzdové náklady</v>
      </c>
      <c r="R245" s="154" t="str">
        <f>IF(ISBLANK(L245),"není alternativa",IF(L245="-","není ve výkazech",VLOOKUP(L245,'radky_R'!$A:$B,2,0)))</f>
        <v>není alternativa</v>
      </c>
      <c r="S245" s="157" t="s">
        <v>262</v>
      </c>
      <c r="T245" s="157" t="s">
        <v>881</v>
      </c>
    </row>
    <row r="246" spans="1:20" x14ac:dyDescent="0.3">
      <c r="A246" s="275">
        <v>524</v>
      </c>
      <c r="B246" s="157" t="s">
        <v>158</v>
      </c>
      <c r="C246" s="157" t="s">
        <v>512</v>
      </c>
      <c r="D246" s="158" t="s">
        <v>319</v>
      </c>
      <c r="E246" s="423">
        <v>12</v>
      </c>
      <c r="F246" s="419" t="s">
        <v>274</v>
      </c>
      <c r="G246" s="419" t="s">
        <v>243</v>
      </c>
      <c r="H246" s="419" t="s">
        <v>242</v>
      </c>
      <c r="I246" s="419"/>
      <c r="J246" s="419"/>
      <c r="K246" s="154" t="str">
        <f>IF(ISBLANK(E246),"ručně doplnit",IF(E246="-","není ve výkazech",IF(C246="Rozvaha",VLOOKUP(E246,'radky_R'!$A:$B,2,0),IF(C246="Výsledovka",VLOOKUP(E246,'radky_V'!A:M,2,0)))))</f>
        <v>Náklady na sociální zabezpečení a zdravotní pojištění</v>
      </c>
      <c r="R246" s="154" t="str">
        <f>IF(ISBLANK(L246),"není alternativa",IF(L246="-","není ve výkazech",VLOOKUP(L246,'radky_R'!$A:$B,2,0)))</f>
        <v>není alternativa</v>
      </c>
      <c r="S246" s="157" t="s">
        <v>262</v>
      </c>
      <c r="T246" s="157" t="s">
        <v>881</v>
      </c>
    </row>
    <row r="247" spans="1:20" x14ac:dyDescent="0.3">
      <c r="A247" s="275">
        <v>525</v>
      </c>
      <c r="B247" s="157" t="s">
        <v>159</v>
      </c>
      <c r="C247" s="157" t="s">
        <v>512</v>
      </c>
      <c r="D247" s="158" t="s">
        <v>304</v>
      </c>
      <c r="E247" s="423">
        <v>12</v>
      </c>
      <c r="F247" s="419" t="s">
        <v>274</v>
      </c>
      <c r="G247" s="419" t="s">
        <v>243</v>
      </c>
      <c r="H247" s="419" t="s">
        <v>242</v>
      </c>
      <c r="I247" s="419"/>
      <c r="J247" s="419"/>
      <c r="K247" s="154" t="str">
        <f>IF(ISBLANK(E247),"ručně doplnit",IF(E247="-","není ve výkazech",IF(C247="Rozvaha",VLOOKUP(E247,'radky_R'!$A:$B,2,0),IF(C247="Výsledovka",VLOOKUP(E247,'radky_V'!A:M,2,0)))))</f>
        <v>Náklady na sociální zabezpečení a zdravotní pojištění</v>
      </c>
      <c r="R247" s="154" t="str">
        <f>IF(ISBLANK(L247),"není alternativa",IF(L247="-","není ve výkazech",VLOOKUP(L247,'radky_R'!$A:$B,2,0)))</f>
        <v>není alternativa</v>
      </c>
      <c r="S247" s="157" t="s">
        <v>262</v>
      </c>
      <c r="T247" s="157" t="s">
        <v>881</v>
      </c>
    </row>
    <row r="248" spans="1:20" x14ac:dyDescent="0.3">
      <c r="A248" s="275">
        <v>526</v>
      </c>
      <c r="B248" s="157" t="s">
        <v>160</v>
      </c>
      <c r="C248" s="157" t="s">
        <v>512</v>
      </c>
      <c r="D248" s="158" t="s">
        <v>304</v>
      </c>
      <c r="E248" s="423">
        <v>12</v>
      </c>
      <c r="F248" s="419" t="s">
        <v>274</v>
      </c>
      <c r="G248" s="419" t="s">
        <v>243</v>
      </c>
      <c r="H248" s="419" t="s">
        <v>242</v>
      </c>
      <c r="I248" s="419"/>
      <c r="J248" s="419"/>
      <c r="K248" s="154" t="str">
        <f>IF(ISBLANK(E248),"ručně doplnit",IF(E248="-","není ve výkazech",IF(C248="Rozvaha",VLOOKUP(E248,'radky_R'!$A:$B,2,0),IF(C248="Výsledovka",VLOOKUP(E248,'radky_V'!A:M,2,0)))))</f>
        <v>Náklady na sociální zabezpečení a zdravotní pojištění</v>
      </c>
      <c r="R248" s="154" t="str">
        <f>IF(ISBLANK(L248),"není alternativa",IF(L248="-","není ve výkazech",VLOOKUP(L248,'radky_R'!$A:$B,2,0)))</f>
        <v>není alternativa</v>
      </c>
      <c r="S248" s="157" t="s">
        <v>262</v>
      </c>
      <c r="T248" s="157" t="s">
        <v>881</v>
      </c>
    </row>
    <row r="249" spans="1:20" x14ac:dyDescent="0.3">
      <c r="A249" s="275">
        <v>527</v>
      </c>
      <c r="B249" s="157" t="s">
        <v>161</v>
      </c>
      <c r="C249" s="157" t="s">
        <v>512</v>
      </c>
      <c r="D249" s="158" t="s">
        <v>319</v>
      </c>
      <c r="E249" s="423">
        <v>13</v>
      </c>
      <c r="F249" s="419" t="s">
        <v>274</v>
      </c>
      <c r="G249" s="419" t="s">
        <v>243</v>
      </c>
      <c r="H249" s="419" t="s">
        <v>243</v>
      </c>
      <c r="I249" s="419"/>
      <c r="J249" s="419"/>
      <c r="K249" s="154" t="str">
        <f>IF(ISBLANK(E249),"ručně doplnit",IF(E249="-","není ve výkazech",IF(C249="Rozvaha",VLOOKUP(E249,'radky_R'!$A:$B,2,0),IF(C249="Výsledovka",VLOOKUP(E249,'radky_V'!A:M,2,0)))))</f>
        <v>Ostatní náklady</v>
      </c>
      <c r="R249" s="154" t="str">
        <f>IF(ISBLANK(L249),"není alternativa",IF(L249="-","není ve výkazech",VLOOKUP(L249,'radky_R'!$A:$B,2,0)))</f>
        <v>není alternativa</v>
      </c>
      <c r="S249" s="157" t="s">
        <v>262</v>
      </c>
      <c r="T249" s="157" t="s">
        <v>881</v>
      </c>
    </row>
    <row r="250" spans="1:20" x14ac:dyDescent="0.3">
      <c r="A250" s="275">
        <v>528</v>
      </c>
      <c r="B250" s="157" t="s">
        <v>162</v>
      </c>
      <c r="C250" s="157" t="s">
        <v>512</v>
      </c>
      <c r="D250" s="158" t="s">
        <v>304</v>
      </c>
      <c r="E250" s="423">
        <v>13</v>
      </c>
      <c r="F250" s="419" t="s">
        <v>274</v>
      </c>
      <c r="G250" s="419" t="s">
        <v>243</v>
      </c>
      <c r="H250" s="419" t="s">
        <v>243</v>
      </c>
      <c r="I250" s="419"/>
      <c r="J250" s="419"/>
      <c r="K250" s="154" t="str">
        <f>IF(ISBLANK(E250),"ručně doplnit",IF(E250="-","není ve výkazech",IF(C250="Rozvaha",VLOOKUP(E250,'radky_R'!$A:$B,2,0),IF(C250="Výsledovka",VLOOKUP(E250,'radky_V'!A:M,2,0)))))</f>
        <v>Ostatní náklady</v>
      </c>
      <c r="R250" s="154" t="str">
        <f>IF(ISBLANK(L250),"není alternativa",IF(L250="-","není ve výkazech",VLOOKUP(L250,'radky_R'!$A:$B,2,0)))</f>
        <v>není alternativa</v>
      </c>
      <c r="S250" s="157" t="s">
        <v>262</v>
      </c>
      <c r="T250" s="157" t="s">
        <v>881</v>
      </c>
    </row>
    <row r="251" spans="1:20" x14ac:dyDescent="0.3">
      <c r="A251" s="275">
        <v>530</v>
      </c>
      <c r="B251" s="157" t="s">
        <v>163</v>
      </c>
      <c r="C251" s="157" t="s">
        <v>512</v>
      </c>
      <c r="D251" s="158" t="s">
        <v>319</v>
      </c>
      <c r="E251" s="423">
        <v>27</v>
      </c>
      <c r="F251" s="419" t="s">
        <v>312</v>
      </c>
      <c r="G251" s="419" t="s">
        <v>244</v>
      </c>
      <c r="H251" s="419"/>
      <c r="I251" s="419"/>
      <c r="J251" s="419"/>
      <c r="K251" s="154" t="str">
        <f>IF(ISBLANK(E251),"ručně doplnit",IF(E251="-","není ve výkazech",IF(C251="Rozvaha",VLOOKUP(E251,'radky_R'!$A:$B,2,0),IF(C251="Výsledovka",VLOOKUP(E251,'radky_V'!A:M,2,0)))))</f>
        <v>Daně a poplatky</v>
      </c>
      <c r="R251" s="154" t="str">
        <f>IF(ISBLANK(L251),"není alternativa",IF(L251="-","není ve výkazech",VLOOKUP(L251,'radky_R'!$A:$B,2,0)))</f>
        <v>není alternativa</v>
      </c>
      <c r="S251" s="157" t="s">
        <v>262</v>
      </c>
      <c r="T251" s="157" t="s">
        <v>882</v>
      </c>
    </row>
    <row r="252" spans="1:20" x14ac:dyDescent="0.3">
      <c r="A252" s="275">
        <v>531</v>
      </c>
      <c r="B252" s="157" t="s">
        <v>164</v>
      </c>
      <c r="C252" s="157" t="s">
        <v>512</v>
      </c>
      <c r="D252" s="158" t="s">
        <v>319</v>
      </c>
      <c r="E252" s="423">
        <v>27</v>
      </c>
      <c r="F252" s="419" t="s">
        <v>312</v>
      </c>
      <c r="G252" s="419" t="s">
        <v>244</v>
      </c>
      <c r="H252" s="419"/>
      <c r="I252" s="419"/>
      <c r="J252" s="419"/>
      <c r="K252" s="154" t="str">
        <f>IF(ISBLANK(E252),"ručně doplnit",IF(E252="-","není ve výkazech",IF(C252="Rozvaha",VLOOKUP(E252,'radky_R'!$A:$B,2,0),IF(C252="Výsledovka",VLOOKUP(E252,'radky_V'!A:M,2,0)))))</f>
        <v>Daně a poplatky</v>
      </c>
      <c r="R252" s="154" t="str">
        <f>IF(ISBLANK(L252),"není alternativa",IF(L252="-","není ve výkazech",VLOOKUP(L252,'radky_R'!$A:$B,2,0)))</f>
        <v>není alternativa</v>
      </c>
      <c r="S252" s="157" t="s">
        <v>262</v>
      </c>
      <c r="T252" s="157" t="s">
        <v>882</v>
      </c>
    </row>
    <row r="253" spans="1:20" x14ac:dyDescent="0.3">
      <c r="A253" s="275">
        <v>532</v>
      </c>
      <c r="B253" s="157" t="s">
        <v>165</v>
      </c>
      <c r="C253" s="157" t="s">
        <v>512</v>
      </c>
      <c r="D253" s="158" t="s">
        <v>319</v>
      </c>
      <c r="E253" s="423">
        <v>27</v>
      </c>
      <c r="F253" s="419" t="s">
        <v>312</v>
      </c>
      <c r="G253" s="419" t="s">
        <v>244</v>
      </c>
      <c r="H253" s="419"/>
      <c r="I253" s="419"/>
      <c r="J253" s="419"/>
      <c r="K253" s="154" t="str">
        <f>IF(ISBLANK(E253),"ručně doplnit",IF(E253="-","není ve výkazech",IF(C253="Rozvaha",VLOOKUP(E253,'radky_R'!$A:$B,2,0),IF(C253="Výsledovka",VLOOKUP(E253,'radky_V'!A:M,2,0)))))</f>
        <v>Daně a poplatky</v>
      </c>
      <c r="R253" s="154" t="str">
        <f>IF(ISBLANK(L253),"není alternativa",IF(L253="-","není ve výkazech",VLOOKUP(L253,'radky_R'!$A:$B,2,0)))</f>
        <v>není alternativa</v>
      </c>
      <c r="S253" s="157" t="s">
        <v>262</v>
      </c>
      <c r="T253" s="157" t="s">
        <v>882</v>
      </c>
    </row>
    <row r="254" spans="1:20" x14ac:dyDescent="0.3">
      <c r="A254" s="275">
        <v>538</v>
      </c>
      <c r="B254" s="157" t="s">
        <v>84</v>
      </c>
      <c r="C254" s="157" t="s">
        <v>512</v>
      </c>
      <c r="D254" s="158" t="s">
        <v>319</v>
      </c>
      <c r="E254" s="423">
        <v>27</v>
      </c>
      <c r="F254" s="419" t="s">
        <v>312</v>
      </c>
      <c r="G254" s="419" t="s">
        <v>244</v>
      </c>
      <c r="H254" s="419"/>
      <c r="I254" s="419"/>
      <c r="J254" s="419"/>
      <c r="K254" s="154" t="str">
        <f>IF(ISBLANK(E254),"ručně doplnit",IF(E254="-","není ve výkazech",IF(C254="Rozvaha",VLOOKUP(E254,'radky_R'!$A:$B,2,0),IF(C254="Výsledovka",VLOOKUP(E254,'radky_V'!A:M,2,0)))))</f>
        <v>Daně a poplatky</v>
      </c>
      <c r="R254" s="154" t="str">
        <f>IF(ISBLANK(L254),"není alternativa",IF(L254="-","není ve výkazech",VLOOKUP(L254,'radky_R'!$A:$B,2,0)))</f>
        <v>není alternativa</v>
      </c>
      <c r="S254" s="157" t="s">
        <v>262</v>
      </c>
      <c r="T254" s="157" t="s">
        <v>882</v>
      </c>
    </row>
    <row r="255" spans="1:20" x14ac:dyDescent="0.3">
      <c r="A255" s="275">
        <v>541</v>
      </c>
      <c r="B255" s="157" t="s">
        <v>166</v>
      </c>
      <c r="C255" s="157" t="s">
        <v>512</v>
      </c>
      <c r="D255" s="158" t="s">
        <v>319</v>
      </c>
      <c r="E255" s="423">
        <v>25</v>
      </c>
      <c r="F255" s="419" t="s">
        <v>312</v>
      </c>
      <c r="G255" s="419" t="s">
        <v>242</v>
      </c>
      <c r="H255" s="419"/>
      <c r="I255" s="419"/>
      <c r="J255" s="419"/>
      <c r="K255" s="154" t="str">
        <f>IF(ISBLANK(E255),"ručně doplnit",IF(E255="-","není ve výkazech",IF(C255="Rozvaha",VLOOKUP(E255,'radky_R'!$A:$B,2,0),IF(C255="Výsledovka",VLOOKUP(E255,'radky_V'!A:M,2,0)))))</f>
        <v>Zůstatková cena prodaného dlouhodobého majetku</v>
      </c>
      <c r="R255" s="154" t="str">
        <f>IF(ISBLANK(L255),"není alternativa",IF(L255="-","není ve výkazech",VLOOKUP(L255,'radky_R'!$A:$B,2,0)))</f>
        <v>není alternativa</v>
      </c>
      <c r="S255" s="157" t="s">
        <v>262</v>
      </c>
      <c r="T255" s="157" t="s">
        <v>876</v>
      </c>
    </row>
    <row r="256" spans="1:20" x14ac:dyDescent="0.3">
      <c r="A256" s="275">
        <v>542</v>
      </c>
      <c r="B256" s="157" t="s">
        <v>167</v>
      </c>
      <c r="C256" s="157" t="s">
        <v>512</v>
      </c>
      <c r="D256" s="158" t="s">
        <v>319</v>
      </c>
      <c r="E256" s="423">
        <v>26</v>
      </c>
      <c r="F256" s="419" t="s">
        <v>312</v>
      </c>
      <c r="G256" s="419" t="s">
        <v>243</v>
      </c>
      <c r="H256" s="419"/>
      <c r="I256" s="419"/>
      <c r="J256" s="419"/>
      <c r="K256" s="154" t="str">
        <f>IF(ISBLANK(E256),"ručně doplnit",IF(E256="-","není ve výkazech",IF(C256="Rozvaha",VLOOKUP(E256,'radky_R'!$A:$B,2,0),IF(C256="Výsledovka",VLOOKUP(E256,'radky_V'!A:M,2,0)))))</f>
        <v>Prodaný materiál</v>
      </c>
      <c r="R256" s="154" t="str">
        <f>IF(ISBLANK(L256),"není alternativa",IF(L256="-","není ve výkazech",VLOOKUP(L256,'radky_R'!$A:$B,2,0)))</f>
        <v>není alternativa</v>
      </c>
      <c r="S256" s="157" t="s">
        <v>262</v>
      </c>
      <c r="T256" s="157" t="s">
        <v>878</v>
      </c>
    </row>
    <row r="257" spans="1:20" x14ac:dyDescent="0.3">
      <c r="A257" s="275">
        <v>543</v>
      </c>
      <c r="B257" s="157" t="s">
        <v>168</v>
      </c>
      <c r="C257" s="157" t="s">
        <v>512</v>
      </c>
      <c r="D257" s="158" t="s">
        <v>304</v>
      </c>
      <c r="E257" s="423">
        <v>29</v>
      </c>
      <c r="F257" s="419" t="s">
        <v>312</v>
      </c>
      <c r="G257" s="419" t="s">
        <v>246</v>
      </c>
      <c r="H257" s="419"/>
      <c r="I257" s="419"/>
      <c r="J257" s="419"/>
      <c r="K257" s="154" t="str">
        <f>IF(ISBLANK(E257),"ručně doplnit",IF(E257="-","není ve výkazech",IF(C257="Rozvaha",VLOOKUP(E257,'radky_R'!$A:$B,2,0),IF(C257="Výsledovka",VLOOKUP(E257,'radky_V'!A:M,2,0)))))</f>
        <v>Jiné provozní náklady</v>
      </c>
      <c r="R257" s="154" t="str">
        <f>IF(ISBLANK(L257),"není alternativa",IF(L257="-","není ve výkazech",VLOOKUP(L257,'radky_R'!$A:$B,2,0)))</f>
        <v>není alternativa</v>
      </c>
      <c r="S257" s="157" t="s">
        <v>262</v>
      </c>
      <c r="T257" s="157" t="s">
        <v>880</v>
      </c>
    </row>
    <row r="258" spans="1:20" x14ac:dyDescent="0.3">
      <c r="A258" s="275">
        <v>544</v>
      </c>
      <c r="B258" s="157" t="s">
        <v>169</v>
      </c>
      <c r="C258" s="157" t="s">
        <v>512</v>
      </c>
      <c r="D258" s="158" t="s">
        <v>319</v>
      </c>
      <c r="E258" s="423">
        <v>29</v>
      </c>
      <c r="F258" s="419" t="s">
        <v>312</v>
      </c>
      <c r="G258" s="419" t="s">
        <v>246</v>
      </c>
      <c r="H258" s="419"/>
      <c r="I258" s="419"/>
      <c r="J258" s="419"/>
      <c r="K258" s="154" t="str">
        <f>IF(ISBLANK(E258),"ručně doplnit",IF(E258="-","není ve výkazech",IF(C258="Rozvaha",VLOOKUP(E258,'radky_R'!$A:$B,2,0),IF(C258="Výsledovka",VLOOKUP(E258,'radky_V'!A:M,2,0)))))</f>
        <v>Jiné provozní náklady</v>
      </c>
      <c r="R258" s="154" t="str">
        <f>IF(ISBLANK(L258),"není alternativa",IF(L258="-","není ve výkazech",VLOOKUP(L258,'radky_R'!$A:$B,2,0)))</f>
        <v>není alternativa</v>
      </c>
      <c r="S258" s="157" t="s">
        <v>262</v>
      </c>
      <c r="T258" s="157" t="s">
        <v>880</v>
      </c>
    </row>
    <row r="259" spans="1:20" x14ac:dyDescent="0.3">
      <c r="A259" s="275">
        <v>545</v>
      </c>
      <c r="B259" s="157" t="s">
        <v>170</v>
      </c>
      <c r="C259" s="157" t="s">
        <v>512</v>
      </c>
      <c r="D259" s="158" t="s">
        <v>304</v>
      </c>
      <c r="E259" s="423">
        <v>29</v>
      </c>
      <c r="F259" s="419" t="s">
        <v>312</v>
      </c>
      <c r="G259" s="419" t="s">
        <v>246</v>
      </c>
      <c r="H259" s="419"/>
      <c r="I259" s="419"/>
      <c r="J259" s="419"/>
      <c r="K259" s="154" t="str">
        <f>IF(ISBLANK(E259),"ručně doplnit",IF(E259="-","není ve výkazech",IF(C259="Rozvaha",VLOOKUP(E259,'radky_R'!$A:$B,2,0),IF(C259="Výsledovka",VLOOKUP(E259,'radky_V'!A:M,2,0)))))</f>
        <v>Jiné provozní náklady</v>
      </c>
      <c r="R259" s="154" t="str">
        <f>IF(ISBLANK(L259),"není alternativa",IF(L259="-","není ve výkazech",VLOOKUP(L259,'radky_R'!$A:$B,2,0)))</f>
        <v>není alternativa</v>
      </c>
      <c r="S259" s="157" t="s">
        <v>262</v>
      </c>
      <c r="T259" s="157" t="s">
        <v>880</v>
      </c>
    </row>
    <row r="260" spans="1:20" x14ac:dyDescent="0.3">
      <c r="A260" s="275">
        <v>546</v>
      </c>
      <c r="B260" s="157" t="s">
        <v>171</v>
      </c>
      <c r="C260" s="157" t="s">
        <v>512</v>
      </c>
      <c r="D260" s="158" t="s">
        <v>304</v>
      </c>
      <c r="E260" s="423">
        <v>29</v>
      </c>
      <c r="F260" s="419" t="s">
        <v>312</v>
      </c>
      <c r="G260" s="419" t="s">
        <v>246</v>
      </c>
      <c r="H260" s="419"/>
      <c r="I260" s="419"/>
      <c r="J260" s="419"/>
      <c r="K260" s="154" t="str">
        <f>IF(ISBLANK(E260),"ručně doplnit",IF(E260="-","není ve výkazech",IF(C260="Rozvaha",VLOOKUP(E260,'radky_R'!$A:$B,2,0),IF(C260="Výsledovka",VLOOKUP(E260,'radky_V'!A:M,2,0)))))</f>
        <v>Jiné provozní náklady</v>
      </c>
      <c r="R260" s="154" t="str">
        <f>IF(ISBLANK(L260),"není alternativa",IF(L260="-","není ve výkazech",VLOOKUP(L260,'radky_R'!$A:$B,2,0)))</f>
        <v>není alternativa</v>
      </c>
      <c r="S260" s="157" t="s">
        <v>262</v>
      </c>
      <c r="T260" s="157" t="s">
        <v>879</v>
      </c>
    </row>
    <row r="261" spans="1:20" x14ac:dyDescent="0.3">
      <c r="A261" s="275">
        <v>547</v>
      </c>
      <c r="B261" s="157" t="s">
        <v>1057</v>
      </c>
      <c r="C261" s="157" t="s">
        <v>512</v>
      </c>
      <c r="D261" s="158" t="s">
        <v>304</v>
      </c>
      <c r="E261" s="423">
        <v>29</v>
      </c>
      <c r="F261" s="419" t="s">
        <v>312</v>
      </c>
      <c r="G261" s="419" t="s">
        <v>246</v>
      </c>
      <c r="H261" s="419"/>
      <c r="I261" s="419"/>
      <c r="J261" s="419"/>
      <c r="K261" s="154" t="str">
        <f>IF(ISBLANK(E261),"ručně doplnit",IF(E261="-","není ve výkazech",IF(C261="Rozvaha",VLOOKUP(E261,'radky_R'!$A:$B,2,0),IF(C261="Výsledovka",VLOOKUP(E261,'radky_V'!A:M,2,0)))))</f>
        <v>Jiné provozní náklady</v>
      </c>
      <c r="R261" s="154" t="str">
        <f>IF(ISBLANK(L261),"není alternativa",IF(L261="-","není ve výkazech",VLOOKUP(L261,'radky_R'!$A:$B,2,0)))</f>
        <v>není alternativa</v>
      </c>
      <c r="S261" s="157" t="s">
        <v>262</v>
      </c>
      <c r="T261" s="157" t="s">
        <v>879</v>
      </c>
    </row>
    <row r="262" spans="1:20" x14ac:dyDescent="0.3">
      <c r="A262" s="275">
        <v>548</v>
      </c>
      <c r="B262" s="157" t="s">
        <v>172</v>
      </c>
      <c r="C262" s="157" t="s">
        <v>512</v>
      </c>
      <c r="D262" s="158" t="s">
        <v>319</v>
      </c>
      <c r="E262" s="423">
        <v>29</v>
      </c>
      <c r="F262" s="419" t="s">
        <v>312</v>
      </c>
      <c r="G262" s="419" t="s">
        <v>246</v>
      </c>
      <c r="H262" s="419"/>
      <c r="I262" s="419"/>
      <c r="J262" s="419"/>
      <c r="K262" s="154" t="str">
        <f>IF(ISBLANK(E262),"ručně doplnit",IF(E262="-","není ve výkazech",IF(C262="Rozvaha",VLOOKUP(E262,'radky_R'!$A:$B,2,0),IF(C262="Výsledovka",VLOOKUP(E262,'radky_V'!A:M,2,0)))))</f>
        <v>Jiné provozní náklady</v>
      </c>
      <c r="R262" s="154" t="str">
        <f>IF(ISBLANK(L262),"není alternativa",IF(L262="-","není ve výkazech",VLOOKUP(L262,'radky_R'!$A:$B,2,0)))</f>
        <v>není alternativa</v>
      </c>
      <c r="S262" s="157" t="s">
        <v>262</v>
      </c>
      <c r="T262" s="157" t="s">
        <v>880</v>
      </c>
    </row>
    <row r="263" spans="1:20" x14ac:dyDescent="0.3">
      <c r="A263" s="275">
        <v>549</v>
      </c>
      <c r="B263" s="157" t="s">
        <v>173</v>
      </c>
      <c r="C263" s="157" t="s">
        <v>512</v>
      </c>
      <c r="D263" s="158" t="s">
        <v>319</v>
      </c>
      <c r="E263" s="423">
        <v>29</v>
      </c>
      <c r="F263" s="419" t="s">
        <v>312</v>
      </c>
      <c r="G263" s="419" t="s">
        <v>246</v>
      </c>
      <c r="H263" s="419"/>
      <c r="I263" s="419"/>
      <c r="J263" s="419"/>
      <c r="K263" s="154" t="str">
        <f>IF(ISBLANK(E263),"ručně doplnit",IF(E263="-","není ve výkazech",IF(C263="Rozvaha",VLOOKUP(E263,'radky_R'!$A:$B,2,0),IF(C263="Výsledovka",VLOOKUP(E263,'radky_V'!A:M,2,0)))))</f>
        <v>Jiné provozní náklady</v>
      </c>
      <c r="R263" s="154" t="str">
        <f>IF(ISBLANK(L263),"není alternativa",IF(L263="-","není ve výkazech",VLOOKUP(L263,'radky_R'!$A:$B,2,0)))</f>
        <v>není alternativa</v>
      </c>
      <c r="S263" s="157" t="s">
        <v>262</v>
      </c>
      <c r="T263" s="157" t="s">
        <v>878</v>
      </c>
    </row>
    <row r="264" spans="1:20" x14ac:dyDescent="0.3">
      <c r="A264" s="275">
        <v>551</v>
      </c>
      <c r="B264" s="157" t="s">
        <v>174</v>
      </c>
      <c r="C264" s="157" t="s">
        <v>512</v>
      </c>
      <c r="D264" s="158" t="s">
        <v>319</v>
      </c>
      <c r="E264" s="423">
        <v>16</v>
      </c>
      <c r="F264" s="419" t="s">
        <v>311</v>
      </c>
      <c r="G264" s="419" t="s">
        <v>242</v>
      </c>
      <c r="H264" s="419" t="s">
        <v>242</v>
      </c>
      <c r="I264" s="419"/>
      <c r="J264" s="419"/>
      <c r="K264" s="154" t="str">
        <f>IF(ISBLANK(E264),"ručně doplnit",IF(E264="-","není ve výkazech",IF(C264="Rozvaha",VLOOKUP(E264,'radky_R'!$A:$B,2,0),IF(C264="Výsledovka",VLOOKUP(E264,'radky_V'!A:M,2,0)))))</f>
        <v>Úpravy hodnot dlouh. nehmotného a hmotného majetku - trvalé</v>
      </c>
      <c r="R264" s="154" t="str">
        <f>IF(ISBLANK(L264),"není alternativa",IF(L264="-","není ve výkazech",VLOOKUP(L264,'radky_R'!$A:$B,2,0)))</f>
        <v>není alternativa</v>
      </c>
      <c r="S264" s="157" t="s">
        <v>262</v>
      </c>
      <c r="T264" s="157" t="s">
        <v>876</v>
      </c>
    </row>
    <row r="265" spans="1:20" x14ac:dyDescent="0.3">
      <c r="A265" s="275">
        <v>552</v>
      </c>
      <c r="B265" s="157" t="s">
        <v>175</v>
      </c>
      <c r="C265" s="157" t="s">
        <v>512</v>
      </c>
      <c r="D265" s="158" t="s">
        <v>319</v>
      </c>
      <c r="E265" s="423">
        <v>28</v>
      </c>
      <c r="F265" s="419" t="s">
        <v>312</v>
      </c>
      <c r="G265" s="419" t="s">
        <v>245</v>
      </c>
      <c r="H265" s="419"/>
      <c r="I265" s="419"/>
      <c r="J265" s="419"/>
      <c r="K265" s="154" t="str">
        <f>IF(ISBLANK(E265),"ručně doplnit",IF(E265="-","není ve výkazech",IF(C265="Rozvaha",VLOOKUP(E265,'radky_R'!$A:$B,2,0),IF(C265="Výsledovka",VLOOKUP(E265,'radky_V'!A:M,2,0)))))</f>
        <v>Rezervy v provozní oblasti a komplexní náklady příštích období</v>
      </c>
      <c r="R265" s="154" t="str">
        <f>IF(ISBLANK(L265),"není alternativa",IF(L265="-","není ve výkazech",VLOOKUP(L265,'radky_R'!$A:$B,2,0)))</f>
        <v>není alternativa</v>
      </c>
      <c r="S265" s="157" t="s">
        <v>262</v>
      </c>
      <c r="T265" s="157" t="s">
        <v>876</v>
      </c>
    </row>
    <row r="266" spans="1:20" x14ac:dyDescent="0.3">
      <c r="A266" s="275">
        <v>554</v>
      </c>
      <c r="B266" s="157" t="s">
        <v>176</v>
      </c>
      <c r="C266" s="157" t="s">
        <v>512</v>
      </c>
      <c r="D266" s="158" t="s">
        <v>304</v>
      </c>
      <c r="E266" s="423">
        <v>28</v>
      </c>
      <c r="F266" s="419" t="s">
        <v>312</v>
      </c>
      <c r="G266" s="419" t="s">
        <v>245</v>
      </c>
      <c r="H266" s="419"/>
      <c r="I266" s="419"/>
      <c r="J266" s="419"/>
      <c r="K266" s="154" t="str">
        <f>IF(ISBLANK(E266),"ručně doplnit",IF(E266="-","není ve výkazech",IF(C266="Rozvaha",VLOOKUP(E266,'radky_R'!$A:$B,2,0),IF(C266="Výsledovka",VLOOKUP(E266,'radky_V'!A:M,2,0)))))</f>
        <v>Rezervy v provozní oblasti a komplexní náklady příštích období</v>
      </c>
      <c r="R266" s="154" t="str">
        <f>IF(ISBLANK(L266),"není alternativa",IF(L266="-","není ve výkazech",VLOOKUP(L266,'radky_R'!$A:$B,2,0)))</f>
        <v>není alternativa</v>
      </c>
      <c r="S266" s="157" t="s">
        <v>262</v>
      </c>
      <c r="T266" s="157" t="s">
        <v>881</v>
      </c>
    </row>
    <row r="267" spans="1:20" x14ac:dyDescent="0.3">
      <c r="A267" s="275">
        <v>555</v>
      </c>
      <c r="B267" s="157" t="s">
        <v>177</v>
      </c>
      <c r="C267" s="157" t="s">
        <v>512</v>
      </c>
      <c r="D267" s="158" t="s">
        <v>319</v>
      </c>
      <c r="E267" s="423">
        <v>28</v>
      </c>
      <c r="F267" s="419" t="s">
        <v>312</v>
      </c>
      <c r="G267" s="419" t="s">
        <v>245</v>
      </c>
      <c r="H267" s="419"/>
      <c r="I267" s="419"/>
      <c r="J267" s="419"/>
      <c r="K267" s="154" t="str">
        <f>IF(ISBLANK(E267),"ručně doplnit",IF(E267="-","není ve výkazech",IF(C267="Rozvaha",VLOOKUP(E267,'radky_R'!$A:$B,2,0),IF(C267="Výsledovka",VLOOKUP(E267,'radky_V'!A:M,2,0)))))</f>
        <v>Rezervy v provozní oblasti a komplexní náklady příštích období</v>
      </c>
      <c r="R267" s="154" t="str">
        <f>IF(ISBLANK(L267),"není alternativa",IF(L267="-","není ve výkazech",VLOOKUP(L267,'radky_R'!$A:$B,2,0)))</f>
        <v>není alternativa</v>
      </c>
      <c r="S267" s="157" t="s">
        <v>262</v>
      </c>
      <c r="T267" s="157" t="s">
        <v>880</v>
      </c>
    </row>
    <row r="268" spans="1:20" x14ac:dyDescent="0.3">
      <c r="A268" s="275">
        <v>557</v>
      </c>
      <c r="B268" s="157" t="s">
        <v>178</v>
      </c>
      <c r="C268" s="157" t="s">
        <v>512</v>
      </c>
      <c r="D268" s="158" t="s">
        <v>304</v>
      </c>
      <c r="E268" s="423">
        <v>16</v>
      </c>
      <c r="F268" s="419" t="s">
        <v>311</v>
      </c>
      <c r="G268" s="419" t="s">
        <v>242</v>
      </c>
      <c r="H268" s="419" t="s">
        <v>242</v>
      </c>
      <c r="I268" s="419"/>
      <c r="J268" s="419"/>
      <c r="K268" s="154" t="str">
        <f>IF(ISBLANK(E268),"ručně doplnit",IF(E268="-","není ve výkazech",IF(C268="Rozvaha",VLOOKUP(E268,'radky_R'!$A:$B,2,0),IF(C268="Výsledovka",VLOOKUP(E268,'radky_V'!A:M,2,0)))))</f>
        <v>Úpravy hodnot dlouh. nehmotného a hmotného majetku - trvalé</v>
      </c>
      <c r="R268" s="154" t="str">
        <f>IF(ISBLANK(L268),"není alternativa",IF(L268="-","není ve výkazech",VLOOKUP(L268,'radky_R'!$A:$B,2,0)))</f>
        <v>není alternativa</v>
      </c>
      <c r="S268" s="157" t="s">
        <v>262</v>
      </c>
      <c r="T268" s="157" t="s">
        <v>876</v>
      </c>
    </row>
    <row r="269" spans="1:20" x14ac:dyDescent="0.3">
      <c r="A269" s="275">
        <v>558</v>
      </c>
      <c r="B269" s="157" t="s">
        <v>179</v>
      </c>
      <c r="C269" s="157" t="s">
        <v>512</v>
      </c>
      <c r="D269" s="158" t="s">
        <v>319</v>
      </c>
      <c r="E269" s="423">
        <v>19</v>
      </c>
      <c r="F269" s="419" t="s">
        <v>311</v>
      </c>
      <c r="G269" s="419" t="s">
        <v>244</v>
      </c>
      <c r="H269" s="419"/>
      <c r="I269" s="419"/>
      <c r="J269" s="419"/>
      <c r="K269" s="154" t="str">
        <f>IF(ISBLANK(E269),"ručně doplnit",IF(E269="-","není ve výkazech",IF(C269="Rozvaha",VLOOKUP(E269,'radky_R'!$A:$B,2,0),IF(C269="Výsledovka",VLOOKUP(E269,'radky_V'!A:M,2,0)))))</f>
        <v>Úpravy hodnot pohledávek</v>
      </c>
      <c r="R269" s="154" t="str">
        <f>IF(ISBLANK(L269),"není alternativa",IF(L269="-","není ve výkazech",VLOOKUP(L269,'radky_R'!$A:$B,2,0)))</f>
        <v>není alternativa</v>
      </c>
      <c r="S269" s="157" t="s">
        <v>262</v>
      </c>
      <c r="T269" s="157" t="s">
        <v>879</v>
      </c>
    </row>
    <row r="270" spans="1:20" x14ac:dyDescent="0.3">
      <c r="A270" s="275">
        <v>559</v>
      </c>
      <c r="B270" s="157" t="s">
        <v>1058</v>
      </c>
      <c r="C270" s="157" t="s">
        <v>512</v>
      </c>
      <c r="D270" s="158" t="s">
        <v>304</v>
      </c>
      <c r="E270" s="423"/>
      <c r="F270" s="419" t="s">
        <v>311</v>
      </c>
      <c r="G270" s="419" t="s">
        <v>242</v>
      </c>
      <c r="H270" s="419" t="s">
        <v>243</v>
      </c>
      <c r="I270" s="419"/>
      <c r="J270" s="419"/>
      <c r="K270" s="154" t="str">
        <f>IF(ISBLANK(E270),"ručně doplnit",IF(E270="-","není ve výkazech",IF(C270="Rozvaha",VLOOKUP(E270,'radky_R'!$A:$B,2,0),IF(C270="Výsledovka",VLOOKUP(E270,'radky_V'!A:M,2,0)))))</f>
        <v>ručně doplnit</v>
      </c>
      <c r="R270" s="154" t="str">
        <f>IF(ISBLANK(L270),"není alternativa",IF(L270="-","není ve výkazech",VLOOKUP(L270,'radky_R'!$A:$B,2,0)))</f>
        <v>není alternativa</v>
      </c>
      <c r="S270" s="157" t="s">
        <v>262</v>
      </c>
      <c r="T270" s="157" t="s">
        <v>876</v>
      </c>
    </row>
    <row r="271" spans="1:20" x14ac:dyDescent="0.3">
      <c r="A271" s="275">
        <v>559</v>
      </c>
      <c r="B271" s="157" t="s">
        <v>1058</v>
      </c>
      <c r="C271" s="157" t="s">
        <v>512</v>
      </c>
      <c r="D271" s="158" t="s">
        <v>304</v>
      </c>
      <c r="E271" s="423"/>
      <c r="F271" s="419" t="s">
        <v>311</v>
      </c>
      <c r="G271" s="419" t="s">
        <v>243</v>
      </c>
      <c r="H271" s="419"/>
      <c r="I271" s="419"/>
      <c r="J271" s="419"/>
      <c r="K271" s="154" t="str">
        <f>IF(ISBLANK(E271),"ručně doplnit",IF(E271="-","není ve výkazech",IF(C271="Rozvaha",VLOOKUP(E271,'radky_R'!$A:$B,2,0),IF(C271="Výsledovka",VLOOKUP(E271,'radky_V'!A:M,2,0)))))</f>
        <v>ručně doplnit</v>
      </c>
      <c r="R271" s="154" t="str">
        <f>IF(ISBLANK(L271),"není alternativa",IF(L271="-","není ve výkazech",VLOOKUP(L271,'radky_R'!$A:$B,2,0)))</f>
        <v>není alternativa</v>
      </c>
      <c r="S271" s="157" t="s">
        <v>262</v>
      </c>
      <c r="T271" s="157" t="s">
        <v>878</v>
      </c>
    </row>
    <row r="272" spans="1:20" x14ac:dyDescent="0.3">
      <c r="A272" s="275">
        <v>559</v>
      </c>
      <c r="B272" s="157" t="s">
        <v>1058</v>
      </c>
      <c r="C272" s="157" t="s">
        <v>512</v>
      </c>
      <c r="D272" s="158" t="s">
        <v>304</v>
      </c>
      <c r="E272" s="423"/>
      <c r="F272" s="419" t="s">
        <v>311</v>
      </c>
      <c r="G272" s="419" t="s">
        <v>244</v>
      </c>
      <c r="H272" s="419"/>
      <c r="I272" s="419"/>
      <c r="J272" s="419"/>
      <c r="K272" s="154" t="str">
        <f>IF(ISBLANK(E272),"ručně doplnit",IF(E272="-","není ve výkazech",IF(C272="Rozvaha",VLOOKUP(E272,'radky_R'!$A:$B,2,0),IF(C272="Výsledovka",VLOOKUP(E272,'radky_V'!A:M,2,0)))))</f>
        <v>ručně doplnit</v>
      </c>
      <c r="R272" s="154" t="str">
        <f>IF(ISBLANK(L272),"není alternativa",IF(L272="-","není ve výkazech",VLOOKUP(L272,'radky_R'!$A:$B,2,0)))</f>
        <v>není alternativa</v>
      </c>
      <c r="S272" s="157" t="s">
        <v>262</v>
      </c>
      <c r="T272" s="157" t="s">
        <v>879</v>
      </c>
    </row>
    <row r="273" spans="1:20" x14ac:dyDescent="0.3">
      <c r="A273" s="275">
        <v>561</v>
      </c>
      <c r="B273" s="157" t="s">
        <v>180</v>
      </c>
      <c r="C273" s="157" t="s">
        <v>512</v>
      </c>
      <c r="D273" s="158" t="s">
        <v>319</v>
      </c>
      <c r="E273" s="423"/>
      <c r="F273" s="419" t="s">
        <v>313</v>
      </c>
      <c r="G273" s="419"/>
      <c r="H273" s="419"/>
      <c r="I273" s="419"/>
      <c r="J273" s="419"/>
      <c r="K273" s="154" t="str">
        <f>IF(ISBLANK(E273),"ručně doplnit",IF(E273="-","není ve výkazech",IF(C273="Rozvaha",VLOOKUP(E273,'radky_R'!$A:$B,2,0),IF(C273="Výsledovka",VLOOKUP(E273,'radky_V'!A:M,2,0)))))</f>
        <v>ručně doplnit</v>
      </c>
      <c r="R273" s="154" t="str">
        <f>IF(ISBLANK(L273),"není alternativa",IF(L273="-","není ve výkazech",VLOOKUP(L273,'radky_R'!$A:$B,2,0)))</f>
        <v>není alternativa</v>
      </c>
      <c r="S273" s="157" t="s">
        <v>262</v>
      </c>
      <c r="T273" s="157" t="s">
        <v>877</v>
      </c>
    </row>
    <row r="274" spans="1:20" x14ac:dyDescent="0.3">
      <c r="A274" s="275">
        <v>561</v>
      </c>
      <c r="B274" s="157" t="s">
        <v>180</v>
      </c>
      <c r="C274" s="157" t="s">
        <v>512</v>
      </c>
      <c r="D274" s="158" t="s">
        <v>319</v>
      </c>
      <c r="E274" s="423"/>
      <c r="F274" s="419" t="s">
        <v>314</v>
      </c>
      <c r="G274" s="419"/>
      <c r="H274" s="419"/>
      <c r="I274" s="419"/>
      <c r="J274" s="419"/>
      <c r="K274" s="154" t="str">
        <f>IF(ISBLANK(E274),"ručně doplnit",IF(E274="-","není ve výkazech",IF(C274="Rozvaha",VLOOKUP(E274,'radky_R'!$A:$B,2,0),IF(C274="Výsledovka",VLOOKUP(E274,'radky_V'!A:M,2,0)))))</f>
        <v>ručně doplnit</v>
      </c>
      <c r="R274" s="154" t="str">
        <f>IF(ISBLANK(L274),"není alternativa",IF(L274="-","není ve výkazech",VLOOKUP(L274,'radky_R'!$A:$B,2,0)))</f>
        <v>není alternativa</v>
      </c>
      <c r="S274" s="157" t="s">
        <v>262</v>
      </c>
      <c r="T274" s="157" t="s">
        <v>877</v>
      </c>
    </row>
    <row r="275" spans="1:20" x14ac:dyDescent="0.3">
      <c r="A275" s="275">
        <v>561</v>
      </c>
      <c r="B275" s="157" t="s">
        <v>180</v>
      </c>
      <c r="C275" s="157" t="s">
        <v>512</v>
      </c>
      <c r="D275" s="158" t="s">
        <v>319</v>
      </c>
      <c r="E275" s="423"/>
      <c r="F275" s="419" t="s">
        <v>330</v>
      </c>
      <c r="G275" s="419"/>
      <c r="H275" s="419"/>
      <c r="I275" s="419"/>
      <c r="J275" s="419"/>
      <c r="K275" s="154" t="str">
        <f>IF(ISBLANK(E275),"ručně doplnit",IF(E275="-","není ve výkazech",IF(C275="Rozvaha",VLOOKUP(E275,'radky_R'!$A:$B,2,0),IF(C275="Výsledovka",VLOOKUP(E275,'radky_V'!A:M,2,0)))))</f>
        <v>ručně doplnit</v>
      </c>
      <c r="R275" s="154" t="str">
        <f>IF(ISBLANK(L275),"není alternativa",IF(L275="-","není ve výkazech",VLOOKUP(L275,'radky_R'!$A:$B,2,0)))</f>
        <v>není alternativa</v>
      </c>
      <c r="S275" s="157" t="s">
        <v>262</v>
      </c>
      <c r="T275" s="157" t="s">
        <v>877</v>
      </c>
    </row>
    <row r="276" spans="1:20" x14ac:dyDescent="0.3">
      <c r="A276" s="275">
        <v>562</v>
      </c>
      <c r="B276" s="157" t="s">
        <v>181</v>
      </c>
      <c r="C276" s="157" t="s">
        <v>512</v>
      </c>
      <c r="D276" s="158" t="s">
        <v>319</v>
      </c>
      <c r="E276" s="423">
        <v>45</v>
      </c>
      <c r="F276" s="419" t="s">
        <v>328</v>
      </c>
      <c r="G276" s="419" t="s">
        <v>243</v>
      </c>
      <c r="H276" s="419"/>
      <c r="I276" s="419"/>
      <c r="J276" s="419"/>
      <c r="K276" s="154" t="str">
        <f>IF(ISBLANK(E276),"ručně doplnit",IF(E276="-","není ve výkazech",IF(C276="Rozvaha",VLOOKUP(E276,'radky_R'!$A:$B,2,0),IF(C276="Výsledovka",VLOOKUP(E276,'radky_V'!A:M,2,0)))))</f>
        <v>Ostatní nákladové úroky a podobné náklady</v>
      </c>
      <c r="R276" s="154" t="str">
        <f>IF(ISBLANK(L276),"není alternativa",IF(L276="-","není ve výkazech",VLOOKUP(L276,'radky_R'!$A:$B,2,0)))</f>
        <v>není alternativa</v>
      </c>
      <c r="S276" s="157" t="s">
        <v>262</v>
      </c>
      <c r="T276" s="157" t="s">
        <v>877</v>
      </c>
    </row>
    <row r="277" spans="1:20" x14ac:dyDescent="0.3">
      <c r="A277" s="275">
        <v>562</v>
      </c>
      <c r="B277" s="157" t="s">
        <v>181</v>
      </c>
      <c r="C277" s="157" t="s">
        <v>512</v>
      </c>
      <c r="D277" s="158" t="s">
        <v>319</v>
      </c>
      <c r="E277" s="423">
        <v>44</v>
      </c>
      <c r="F277" s="419" t="s">
        <v>328</v>
      </c>
      <c r="G277" s="419" t="s">
        <v>242</v>
      </c>
      <c r="H277" s="419"/>
      <c r="I277" s="419"/>
      <c r="J277" s="419"/>
      <c r="K277" s="154" t="str">
        <f>IF(ISBLANK(E277),"ručně doplnit",IF(E277="-","není ve výkazech",IF(C277="Rozvaha",VLOOKUP(E277,'radky_R'!$A:$B,2,0),IF(C277="Výsledovka",VLOOKUP(E277,'radky_V'!A:M,2,0)))))</f>
        <v>Nákl. úroky a podobné náklady - ovládaná nebo ovládající osoba</v>
      </c>
      <c r="R277" s="154" t="str">
        <f>IF(ISBLANK(L277),"není alternativa",IF(L277="-","není ve výkazech",VLOOKUP(L277,'radky_R'!$A:$B,2,0)))</f>
        <v>není alternativa</v>
      </c>
      <c r="S277" s="157" t="s">
        <v>262</v>
      </c>
      <c r="T277" s="157" t="s">
        <v>877</v>
      </c>
    </row>
    <row r="278" spans="1:20" x14ac:dyDescent="0.3">
      <c r="A278" s="275">
        <v>563</v>
      </c>
      <c r="B278" s="157" t="s">
        <v>182</v>
      </c>
      <c r="C278" s="157" t="s">
        <v>512</v>
      </c>
      <c r="D278" s="158" t="s">
        <v>319</v>
      </c>
      <c r="E278" s="423">
        <v>47</v>
      </c>
      <c r="F278" s="419" t="s">
        <v>330</v>
      </c>
      <c r="G278" s="419"/>
      <c r="H278" s="419"/>
      <c r="I278" s="419"/>
      <c r="J278" s="419"/>
      <c r="K278" s="154" t="str">
        <f>IF(ISBLANK(E278),"ručně doplnit",IF(E278="-","není ve výkazech",IF(C278="Rozvaha",VLOOKUP(E278,'radky_R'!$A:$B,2,0),IF(C278="Výsledovka",VLOOKUP(E278,'radky_V'!A:M,2,0)))))</f>
        <v>Ostatní finanční náklady</v>
      </c>
      <c r="R278" s="154" t="str">
        <f>IF(ISBLANK(L278),"není alternativa",IF(L278="-","není ve výkazech",VLOOKUP(L278,'radky_R'!$A:$B,2,0)))</f>
        <v>není alternativa</v>
      </c>
      <c r="S278" s="157" t="s">
        <v>262</v>
      </c>
      <c r="T278" s="157" t="s">
        <v>877</v>
      </c>
    </row>
    <row r="279" spans="1:20" x14ac:dyDescent="0.3">
      <c r="A279" s="275">
        <v>564</v>
      </c>
      <c r="B279" s="157" t="s">
        <v>183</v>
      </c>
      <c r="C279" s="157" t="s">
        <v>512</v>
      </c>
      <c r="D279" s="158" t="s">
        <v>319</v>
      </c>
      <c r="E279" s="423">
        <v>47</v>
      </c>
      <c r="F279" s="419" t="s">
        <v>330</v>
      </c>
      <c r="G279" s="419"/>
      <c r="H279" s="419"/>
      <c r="I279" s="419"/>
      <c r="J279" s="419"/>
      <c r="K279" s="154" t="str">
        <f>IF(ISBLANK(E279),"ručně doplnit",IF(E279="-","není ve výkazech",IF(C279="Rozvaha",VLOOKUP(E279,'radky_R'!$A:$B,2,0),IF(C279="Výsledovka",VLOOKUP(E279,'radky_V'!A:M,2,0)))))</f>
        <v>Ostatní finanční náklady</v>
      </c>
      <c r="R279" s="154" t="str">
        <f>IF(ISBLANK(L279),"není alternativa",IF(L279="-","není ve výkazech",VLOOKUP(L279,'radky_R'!$A:$B,2,0)))</f>
        <v>není alternativa</v>
      </c>
      <c r="S279" s="157" t="s">
        <v>262</v>
      </c>
      <c r="T279" s="157" t="s">
        <v>877</v>
      </c>
    </row>
    <row r="280" spans="1:20" x14ac:dyDescent="0.3">
      <c r="A280" s="275">
        <v>565</v>
      </c>
      <c r="B280" s="157" t="s">
        <v>1059</v>
      </c>
      <c r="C280" s="157" t="s">
        <v>512</v>
      </c>
      <c r="D280" s="158" t="s">
        <v>319</v>
      </c>
      <c r="E280" s="423">
        <v>47</v>
      </c>
      <c r="F280" s="419" t="s">
        <v>330</v>
      </c>
      <c r="G280" s="419"/>
      <c r="H280" s="419"/>
      <c r="I280" s="419"/>
      <c r="J280" s="419"/>
      <c r="K280" s="154" t="str">
        <f>IF(ISBLANK(E280),"ručně doplnit",IF(E280="-","není ve výkazech",IF(C280="Rozvaha",VLOOKUP(E280,'radky_R'!$A:$B,2,0),IF(C280="Výsledovka",VLOOKUP(E280,'radky_V'!A:M,2,0)))))</f>
        <v>Ostatní finanční náklady</v>
      </c>
      <c r="R280" s="154" t="str">
        <f>IF(ISBLANK(L280),"není alternativa",IF(L280="-","není ve výkazech",VLOOKUP(L280,'radky_R'!$A:$B,2,0)))</f>
        <v>není alternativa</v>
      </c>
      <c r="S280" s="157" t="s">
        <v>262</v>
      </c>
      <c r="T280" s="157" t="s">
        <v>877</v>
      </c>
    </row>
    <row r="281" spans="1:20" x14ac:dyDescent="0.3">
      <c r="A281" s="275">
        <v>566</v>
      </c>
      <c r="B281" s="157" t="s">
        <v>184</v>
      </c>
      <c r="C281" s="157" t="s">
        <v>512</v>
      </c>
      <c r="D281" s="158" t="s">
        <v>319</v>
      </c>
      <c r="E281" s="423">
        <v>47</v>
      </c>
      <c r="F281" s="419" t="s">
        <v>330</v>
      </c>
      <c r="G281" s="419"/>
      <c r="H281" s="419"/>
      <c r="I281" s="419"/>
      <c r="J281" s="419"/>
      <c r="K281" s="154" t="str">
        <f>IF(ISBLANK(E281),"ručně doplnit",IF(E281="-","není ve výkazech",IF(C281="Rozvaha",VLOOKUP(E281,'radky_R'!$A:$B,2,0),IF(C281="Výsledovka",VLOOKUP(E281,'radky_V'!A:M,2,0)))))</f>
        <v>Ostatní finanční náklady</v>
      </c>
      <c r="R281" s="154" t="str">
        <f>IF(ISBLANK(L281),"není alternativa",IF(L281="-","není ve výkazech",VLOOKUP(L281,'radky_R'!$A:$B,2,0)))</f>
        <v>není alternativa</v>
      </c>
      <c r="S281" s="157" t="s">
        <v>262</v>
      </c>
      <c r="T281" s="157" t="s">
        <v>877</v>
      </c>
    </row>
    <row r="282" spans="1:20" x14ac:dyDescent="0.3">
      <c r="A282" s="275">
        <v>566</v>
      </c>
      <c r="B282" s="157" t="s">
        <v>184</v>
      </c>
      <c r="C282" s="157" t="s">
        <v>512</v>
      </c>
      <c r="D282" s="158" t="s">
        <v>319</v>
      </c>
      <c r="E282" s="423">
        <v>38</v>
      </c>
      <c r="F282" s="419" t="s">
        <v>314</v>
      </c>
      <c r="G282" s="419"/>
      <c r="H282" s="419"/>
      <c r="I282" s="419"/>
      <c r="J282" s="419"/>
      <c r="K282" s="154" t="str">
        <f>IF(ISBLANK(E282),"ručně doplnit",IF(E282="-","není ve výkazech",IF(C282="Rozvaha",VLOOKUP(E282,'radky_R'!$A:$B,2,0),IF(C282="Výsledovka",VLOOKUP(E282,'radky_V'!A:M,2,0)))))</f>
        <v>Náklady související s ostatním dlouhodobým finančním majetkem</v>
      </c>
      <c r="R282" s="154" t="str">
        <f>IF(ISBLANK(L282),"není alternativa",IF(L282="-","není ve výkazech",VLOOKUP(L282,'radky_R'!$A:$B,2,0)))</f>
        <v>není alternativa</v>
      </c>
      <c r="S282" s="157" t="s">
        <v>262</v>
      </c>
      <c r="T282" s="157" t="s">
        <v>877</v>
      </c>
    </row>
    <row r="283" spans="1:20" x14ac:dyDescent="0.3">
      <c r="A283" s="275">
        <v>567</v>
      </c>
      <c r="B283" s="157" t="s">
        <v>185</v>
      </c>
      <c r="C283" s="157" t="s">
        <v>512</v>
      </c>
      <c r="D283" s="158" t="s">
        <v>319</v>
      </c>
      <c r="E283" s="423">
        <v>47</v>
      </c>
      <c r="F283" s="419" t="s">
        <v>330</v>
      </c>
      <c r="G283" s="419"/>
      <c r="H283" s="419"/>
      <c r="I283" s="419"/>
      <c r="J283" s="419"/>
      <c r="K283" s="154" t="str">
        <f>IF(ISBLANK(E283),"ručně doplnit",IF(E283="-","není ve výkazech",IF(C283="Rozvaha",VLOOKUP(E283,'radky_R'!$A:$B,2,0),IF(C283="Výsledovka",VLOOKUP(E283,'radky_V'!A:M,2,0)))))</f>
        <v>Ostatní finanční náklady</v>
      </c>
      <c r="R283" s="154" t="str">
        <f>IF(ISBLANK(L283),"není alternativa",IF(L283="-","není ve výkazech",VLOOKUP(L283,'radky_R'!$A:$B,2,0)))</f>
        <v>není alternativa</v>
      </c>
      <c r="S283" s="157" t="s">
        <v>262</v>
      </c>
      <c r="T283" s="157" t="s">
        <v>877</v>
      </c>
    </row>
    <row r="284" spans="1:20" x14ac:dyDescent="0.3">
      <c r="A284" s="275">
        <v>568</v>
      </c>
      <c r="B284" s="157" t="s">
        <v>186</v>
      </c>
      <c r="C284" s="157" t="s">
        <v>512</v>
      </c>
      <c r="D284" s="158" t="s">
        <v>319</v>
      </c>
      <c r="E284" s="423">
        <v>47</v>
      </c>
      <c r="F284" s="419" t="s">
        <v>330</v>
      </c>
      <c r="G284" s="419"/>
      <c r="H284" s="419"/>
      <c r="I284" s="419"/>
      <c r="J284" s="419"/>
      <c r="K284" s="154" t="str">
        <f>IF(ISBLANK(E284),"ručně doplnit",IF(E284="-","není ve výkazech",IF(C284="Rozvaha",VLOOKUP(E284,'radky_R'!$A:$B,2,0),IF(C284="Výsledovka",VLOOKUP(E284,'radky_V'!A:M,2,0)))))</f>
        <v>Ostatní finanční náklady</v>
      </c>
      <c r="R284" s="154" t="str">
        <f>IF(ISBLANK(L284),"není alternativa",IF(L284="-","není ve výkazech",VLOOKUP(L284,'radky_R'!$A:$B,2,0)))</f>
        <v>není alternativa</v>
      </c>
      <c r="S284" s="157" t="s">
        <v>262</v>
      </c>
      <c r="T284" s="157" t="s">
        <v>877</v>
      </c>
    </row>
    <row r="285" spans="1:20" x14ac:dyDescent="0.3">
      <c r="A285" s="275">
        <v>569</v>
      </c>
      <c r="B285" s="157" t="s">
        <v>187</v>
      </c>
      <c r="C285" s="157" t="s">
        <v>512</v>
      </c>
      <c r="D285" s="158" t="s">
        <v>319</v>
      </c>
      <c r="E285" s="423">
        <v>47</v>
      </c>
      <c r="F285" s="419" t="s">
        <v>330</v>
      </c>
      <c r="G285" s="419"/>
      <c r="H285" s="419"/>
      <c r="I285" s="419"/>
      <c r="J285" s="419"/>
      <c r="K285" s="154" t="str">
        <f>IF(ISBLANK(E285),"ručně doplnit",IF(E285="-","není ve výkazech",IF(C285="Rozvaha",VLOOKUP(E285,'radky_R'!$A:$B,2,0),IF(C285="Výsledovka",VLOOKUP(E285,'radky_V'!A:M,2,0)))))</f>
        <v>Ostatní finanční náklady</v>
      </c>
      <c r="R285" s="154" t="str">
        <f>IF(ISBLANK(L285),"není alternativa",IF(L285="-","není ve výkazech",VLOOKUP(L285,'radky_R'!$A:$B,2,0)))</f>
        <v>není alternativa</v>
      </c>
      <c r="S285" s="157" t="s">
        <v>262</v>
      </c>
      <c r="T285" s="157" t="s">
        <v>877</v>
      </c>
    </row>
    <row r="286" spans="1:20" x14ac:dyDescent="0.3">
      <c r="A286" s="275">
        <v>574</v>
      </c>
      <c r="B286" s="157" t="s">
        <v>188</v>
      </c>
      <c r="C286" s="157" t="s">
        <v>512</v>
      </c>
      <c r="D286" s="158" t="s">
        <v>304</v>
      </c>
      <c r="E286" s="423">
        <v>42</v>
      </c>
      <c r="F286" s="419" t="s">
        <v>241</v>
      </c>
      <c r="G286" s="419"/>
      <c r="H286" s="419"/>
      <c r="I286" s="419"/>
      <c r="J286" s="419"/>
      <c r="K286" s="154" t="str">
        <f>IF(ISBLANK(E286),"ručně doplnit",IF(E286="-","není ve výkazech",IF(C286="Rozvaha",VLOOKUP(E286,'radky_R'!$A:$B,2,0),IF(C286="Výsledovka",VLOOKUP(E286,'radky_V'!A:M,2,0)))))</f>
        <v>Úpravy hodnot a rezervy ve finanční oblasti</v>
      </c>
      <c r="R286" s="154" t="str">
        <f>IF(ISBLANK(L286),"není alternativa",IF(L286="-","není ve výkazech",VLOOKUP(L286,'radky_R'!$A:$B,2,0)))</f>
        <v>není alternativa</v>
      </c>
      <c r="S286" s="157" t="s">
        <v>262</v>
      </c>
      <c r="T286" s="157" t="s">
        <v>877</v>
      </c>
    </row>
    <row r="287" spans="1:20" x14ac:dyDescent="0.3">
      <c r="A287" s="275">
        <v>579</v>
      </c>
      <c r="B287" s="157" t="s">
        <v>189</v>
      </c>
      <c r="C287" s="157" t="s">
        <v>512</v>
      </c>
      <c r="D287" s="158" t="s">
        <v>304</v>
      </c>
      <c r="E287" s="423">
        <v>42</v>
      </c>
      <c r="F287" s="419" t="s">
        <v>241</v>
      </c>
      <c r="G287" s="419"/>
      <c r="H287" s="419"/>
      <c r="I287" s="419"/>
      <c r="J287" s="419"/>
      <c r="K287" s="154" t="str">
        <f>IF(ISBLANK(E287),"ručně doplnit",IF(E287="-","není ve výkazech",IF(C287="Rozvaha",VLOOKUP(E287,'radky_R'!$A:$B,2,0),IF(C287="Výsledovka",VLOOKUP(E287,'radky_V'!A:M,2,0)))))</f>
        <v>Úpravy hodnot a rezervy ve finanční oblasti</v>
      </c>
      <c r="R287" s="154" t="str">
        <f>IF(ISBLANK(L287),"není alternativa",IF(L287="-","není ve výkazech",VLOOKUP(L287,'radky_R'!$A:$B,2,0)))</f>
        <v>není alternativa</v>
      </c>
      <c r="S287" s="157" t="s">
        <v>262</v>
      </c>
      <c r="T287" s="157" t="s">
        <v>877</v>
      </c>
    </row>
    <row r="288" spans="1:20" x14ac:dyDescent="0.3">
      <c r="A288" s="275">
        <v>580</v>
      </c>
      <c r="B288" s="157" t="s">
        <v>190</v>
      </c>
      <c r="C288" s="157" t="s">
        <v>512</v>
      </c>
      <c r="D288" s="158" t="s">
        <v>304</v>
      </c>
      <c r="E288" s="275"/>
      <c r="K288" s="154" t="str">
        <f>IF(ISBLANK(E288),"ručně doplnit",IF(E288="-","není ve výkazech",IF(C288="Rozvaha",VLOOKUP(E288,'radky_R'!$A:$B,2,0),IF(C288="Výsledovka",VLOOKUP(E288,'radky_V'!A:M,2,0)))))</f>
        <v>ručně doplnit</v>
      </c>
      <c r="R288" s="154" t="str">
        <f>IF(ISBLANK(L288),"není alternativa",IF(L288="-","není ve výkazech",VLOOKUP(L288,'radky_R'!$A:$B,2,0)))</f>
        <v>není alternativa</v>
      </c>
      <c r="S288" s="157" t="s">
        <v>262</v>
      </c>
      <c r="T288" s="157" t="s">
        <v>880</v>
      </c>
    </row>
    <row r="289" spans="1:20" x14ac:dyDescent="0.3">
      <c r="A289" s="275">
        <v>581</v>
      </c>
      <c r="B289" s="157" t="s">
        <v>198</v>
      </c>
      <c r="C289" s="157" t="s">
        <v>512</v>
      </c>
      <c r="D289" s="158" t="s">
        <v>319</v>
      </c>
      <c r="E289" s="423">
        <v>7</v>
      </c>
      <c r="F289" s="419" t="s">
        <v>240</v>
      </c>
      <c r="G289" s="419"/>
      <c r="H289" s="419"/>
      <c r="I289" s="419"/>
      <c r="J289" s="419"/>
      <c r="K289" s="154" t="str">
        <f>IF(ISBLANK(E289),"ručně doplnit",IF(E289="-","není ve výkazech",IF(C289="Rozvaha",VLOOKUP(E289,'radky_R'!$A:$B,2,0),IF(C289="Výsledovka",VLOOKUP(E289,'radky_V'!A:M,2,0)))))</f>
        <v>Změna stavu zásob vlastní činnosti (+/-)</v>
      </c>
      <c r="R289" s="154" t="str">
        <f>IF(ISBLANK(L289),"není alternativa",IF(L289="-","není ve výkazech",VLOOKUP(L289,'radky_R'!$A:$B,2,0)))</f>
        <v>není alternativa</v>
      </c>
      <c r="S289" s="157" t="s">
        <v>262</v>
      </c>
      <c r="T289" s="157" t="s">
        <v>878</v>
      </c>
    </row>
    <row r="290" spans="1:20" x14ac:dyDescent="0.3">
      <c r="A290" s="275">
        <v>582</v>
      </c>
      <c r="B290" s="157" t="s">
        <v>199</v>
      </c>
      <c r="C290" s="157" t="s">
        <v>512</v>
      </c>
      <c r="D290" s="158" t="s">
        <v>304</v>
      </c>
      <c r="E290" s="423">
        <v>7</v>
      </c>
      <c r="F290" s="419" t="s">
        <v>240</v>
      </c>
      <c r="G290" s="419"/>
      <c r="H290" s="419"/>
      <c r="I290" s="419"/>
      <c r="J290" s="419"/>
      <c r="K290" s="154" t="str">
        <f>IF(ISBLANK(E290),"ručně doplnit",IF(E290="-","není ve výkazech",IF(C290="Rozvaha",VLOOKUP(E290,'radky_R'!$A:$B,2,0),IF(C290="Výsledovka",VLOOKUP(E290,'radky_V'!A:M,2,0)))))</f>
        <v>Změna stavu zásob vlastní činnosti (+/-)</v>
      </c>
      <c r="R290" s="154" t="str">
        <f>IF(ISBLANK(L290),"není alternativa",IF(L290="-","není ve výkazech",VLOOKUP(L290,'radky_R'!$A:$B,2,0)))</f>
        <v>není alternativa</v>
      </c>
      <c r="S290" s="157" t="s">
        <v>262</v>
      </c>
      <c r="T290" s="157" t="s">
        <v>878</v>
      </c>
    </row>
    <row r="291" spans="1:20" x14ac:dyDescent="0.3">
      <c r="A291" s="275">
        <v>583</v>
      </c>
      <c r="B291" s="157" t="s">
        <v>200</v>
      </c>
      <c r="C291" s="157" t="s">
        <v>512</v>
      </c>
      <c r="D291" s="158" t="s">
        <v>304</v>
      </c>
      <c r="E291" s="423">
        <v>7</v>
      </c>
      <c r="F291" s="419" t="s">
        <v>240</v>
      </c>
      <c r="G291" s="419"/>
      <c r="H291" s="419"/>
      <c r="I291" s="419"/>
      <c r="J291" s="419"/>
      <c r="K291" s="154" t="str">
        <f>IF(ISBLANK(E291),"ručně doplnit",IF(E291="-","není ve výkazech",IF(C291="Rozvaha",VLOOKUP(E291,'radky_R'!$A:$B,2,0),IF(C291="Výsledovka",VLOOKUP(E291,'radky_V'!A:M,2,0)))))</f>
        <v>Změna stavu zásob vlastní činnosti (+/-)</v>
      </c>
      <c r="R291" s="154" t="str">
        <f>IF(ISBLANK(L291),"není alternativa",IF(L291="-","není ve výkazech",VLOOKUP(L291,'radky_R'!$A:$B,2,0)))</f>
        <v>není alternativa</v>
      </c>
      <c r="S291" s="157" t="s">
        <v>262</v>
      </c>
      <c r="T291" s="157" t="s">
        <v>878</v>
      </c>
    </row>
    <row r="292" spans="1:20" x14ac:dyDescent="0.3">
      <c r="A292" s="275">
        <v>584</v>
      </c>
      <c r="B292" s="157" t="s">
        <v>201</v>
      </c>
      <c r="C292" s="157" t="s">
        <v>512</v>
      </c>
      <c r="D292" s="158" t="s">
        <v>304</v>
      </c>
      <c r="E292" s="423">
        <v>7</v>
      </c>
      <c r="F292" s="419" t="s">
        <v>240</v>
      </c>
      <c r="G292" s="419"/>
      <c r="H292" s="419"/>
      <c r="I292" s="419"/>
      <c r="J292" s="419"/>
      <c r="K292" s="154" t="str">
        <f>IF(ISBLANK(E292),"ručně doplnit",IF(E292="-","není ve výkazech",IF(C292="Rozvaha",VLOOKUP(E292,'radky_R'!$A:$B,2,0),IF(C292="Výsledovka",VLOOKUP(E292,'radky_V'!A:M,2,0)))))</f>
        <v>Změna stavu zásob vlastní činnosti (+/-)</v>
      </c>
      <c r="R292" s="154" t="str">
        <f>IF(ISBLANK(L292),"není alternativa",IF(L292="-","není ve výkazech",VLOOKUP(L292,'radky_R'!$A:$B,2,0)))</f>
        <v>není alternativa</v>
      </c>
      <c r="S292" s="157" t="s">
        <v>262</v>
      </c>
      <c r="T292" s="157" t="s">
        <v>878</v>
      </c>
    </row>
    <row r="293" spans="1:20" x14ac:dyDescent="0.3">
      <c r="A293" s="275">
        <v>585</v>
      </c>
      <c r="B293" s="157" t="s">
        <v>202</v>
      </c>
      <c r="C293" s="157" t="s">
        <v>512</v>
      </c>
      <c r="D293" s="158" t="s">
        <v>304</v>
      </c>
      <c r="E293" s="423">
        <v>8</v>
      </c>
      <c r="F293" s="419" t="s">
        <v>265</v>
      </c>
      <c r="G293" s="419"/>
      <c r="H293" s="419"/>
      <c r="I293" s="419"/>
      <c r="J293" s="419"/>
      <c r="K293" s="154" t="str">
        <f>IF(ISBLANK(E293),"ručně doplnit",IF(E293="-","není ve výkazech",IF(C293="Rozvaha",VLOOKUP(E293,'radky_R'!$A:$B,2,0),IF(C293="Výsledovka",VLOOKUP(E293,'radky_V'!A:M,2,0)))))</f>
        <v>Aktivace (-)</v>
      </c>
      <c r="R293" s="154" t="str">
        <f>IF(ISBLANK(L293),"není alternativa",IF(L293="-","není ve výkazech",VLOOKUP(L293,'radky_R'!$A:$B,2,0)))</f>
        <v>není alternativa</v>
      </c>
      <c r="S293" s="157" t="s">
        <v>262</v>
      </c>
      <c r="T293" s="157" t="s">
        <v>878</v>
      </c>
    </row>
    <row r="294" spans="1:20" x14ac:dyDescent="0.3">
      <c r="A294" s="275">
        <v>586</v>
      </c>
      <c r="B294" s="157" t="s">
        <v>203</v>
      </c>
      <c r="C294" s="157" t="s">
        <v>512</v>
      </c>
      <c r="D294" s="158" t="s">
        <v>304</v>
      </c>
      <c r="E294" s="423">
        <v>8</v>
      </c>
      <c r="F294" s="419" t="s">
        <v>265</v>
      </c>
      <c r="G294" s="419"/>
      <c r="H294" s="419"/>
      <c r="I294" s="419"/>
      <c r="J294" s="419"/>
      <c r="K294" s="154" t="str">
        <f>IF(ISBLANK(E294),"ručně doplnit",IF(E294="-","není ve výkazech",IF(C294="Rozvaha",VLOOKUP(E294,'radky_R'!$A:$B,2,0),IF(C294="Výsledovka",VLOOKUP(E294,'radky_V'!A:M,2,0)))))</f>
        <v>Aktivace (-)</v>
      </c>
      <c r="R294" s="154" t="str">
        <f>IF(ISBLANK(L294),"není alternativa",IF(L294="-","není ve výkazech",VLOOKUP(L294,'radky_R'!$A:$B,2,0)))</f>
        <v>není alternativa</v>
      </c>
      <c r="S294" s="157" t="s">
        <v>262</v>
      </c>
      <c r="T294" s="157" t="s">
        <v>878</v>
      </c>
    </row>
    <row r="295" spans="1:20" x14ac:dyDescent="0.3">
      <c r="A295" s="275">
        <v>587</v>
      </c>
      <c r="B295" s="157" t="s">
        <v>204</v>
      </c>
      <c r="C295" s="157" t="s">
        <v>512</v>
      </c>
      <c r="D295" s="158" t="s">
        <v>304</v>
      </c>
      <c r="E295" s="423">
        <v>8</v>
      </c>
      <c r="F295" s="419" t="s">
        <v>265</v>
      </c>
      <c r="G295" s="419"/>
      <c r="H295" s="419"/>
      <c r="I295" s="419"/>
      <c r="J295" s="419"/>
      <c r="K295" s="154" t="str">
        <f>IF(ISBLANK(E295),"ručně doplnit",IF(E295="-","není ve výkazech",IF(C295="Rozvaha",VLOOKUP(E295,'radky_R'!$A:$B,2,0),IF(C295="Výsledovka",VLOOKUP(E295,'radky_V'!A:M,2,0)))))</f>
        <v>Aktivace (-)</v>
      </c>
      <c r="R295" s="154" t="str">
        <f>IF(ISBLANK(L295),"není alternativa",IF(L295="-","není ve výkazech",VLOOKUP(L295,'radky_R'!$A:$B,2,0)))</f>
        <v>není alternativa</v>
      </c>
      <c r="S295" s="157" t="s">
        <v>262</v>
      </c>
      <c r="T295" s="157" t="s">
        <v>876</v>
      </c>
    </row>
    <row r="296" spans="1:20" x14ac:dyDescent="0.3">
      <c r="A296" s="275">
        <v>588</v>
      </c>
      <c r="B296" s="157" t="s">
        <v>205</v>
      </c>
      <c r="C296" s="157" t="s">
        <v>512</v>
      </c>
      <c r="D296" s="158" t="s">
        <v>304</v>
      </c>
      <c r="E296" s="423">
        <v>8</v>
      </c>
      <c r="F296" s="419" t="s">
        <v>265</v>
      </c>
      <c r="G296" s="419"/>
      <c r="H296" s="419"/>
      <c r="I296" s="419"/>
      <c r="J296" s="419"/>
      <c r="K296" s="154" t="str">
        <f>IF(ISBLANK(E296),"ručně doplnit",IF(E296="-","není ve výkazech",IF(C296="Rozvaha",VLOOKUP(E296,'radky_R'!$A:$B,2,0),IF(C296="Výsledovka",VLOOKUP(E296,'radky_V'!A:M,2,0)))))</f>
        <v>Aktivace (-)</v>
      </c>
      <c r="R296" s="154" t="str">
        <f>IF(ISBLANK(L296),"není alternativa",IF(L296="-","není ve výkazech",VLOOKUP(L296,'radky_R'!$A:$B,2,0)))</f>
        <v>není alternativa</v>
      </c>
      <c r="S296" s="157" t="s">
        <v>262</v>
      </c>
      <c r="T296" s="157" t="s">
        <v>876</v>
      </c>
    </row>
    <row r="297" spans="1:20" x14ac:dyDescent="0.3">
      <c r="A297" s="275">
        <v>589</v>
      </c>
      <c r="C297" s="157" t="s">
        <v>512</v>
      </c>
      <c r="D297" s="158" t="s">
        <v>304</v>
      </c>
      <c r="E297" s="275"/>
      <c r="K297" s="154" t="str">
        <f>IF(ISBLANK(E297),"ručně doplnit",IF(E297="-","není ve výkazech",IF(C297="Rozvaha",VLOOKUP(E297,'radky_R'!$A:$B,2,0),IF(C297="Výsledovka",VLOOKUP(E297,'radky_V'!A:M,2,0)))))</f>
        <v>ručně doplnit</v>
      </c>
      <c r="R297" s="154" t="str">
        <f>IF(ISBLANK(L297),"není alternativa",IF(L297="-","není ve výkazech",VLOOKUP(L297,'radky_R'!$A:$B,2,0)))</f>
        <v>není alternativa</v>
      </c>
      <c r="S297" s="157" t="s">
        <v>262</v>
      </c>
      <c r="T297" s="157" t="s">
        <v>879</v>
      </c>
    </row>
    <row r="298" spans="1:20" x14ac:dyDescent="0.3">
      <c r="A298" s="275">
        <v>591</v>
      </c>
      <c r="B298" s="157" t="s">
        <v>1060</v>
      </c>
      <c r="C298" s="157" t="s">
        <v>512</v>
      </c>
      <c r="D298" s="158" t="s">
        <v>304</v>
      </c>
      <c r="E298" s="423">
        <v>51</v>
      </c>
      <c r="F298" s="419" t="s">
        <v>331</v>
      </c>
      <c r="G298" s="419" t="s">
        <v>242</v>
      </c>
      <c r="H298" s="419"/>
      <c r="I298" s="419"/>
      <c r="J298" s="419"/>
      <c r="K298" s="154" t="str">
        <f>IF(ISBLANK(E298),"ručně doplnit",IF(E298="-","není ve výkazech",IF(C298="Rozvaha",VLOOKUP(E298,'radky_R'!$A:$B,2,0),IF(C298="Výsledovka",VLOOKUP(E298,'radky_V'!A:M,2,0)))))</f>
        <v>Daň z příjmů splatná</v>
      </c>
      <c r="R298" s="154" t="str">
        <f>IF(ISBLANK(L298),"není alternativa",IF(L298="-","není ve výkazech",VLOOKUP(L298,'radky_R'!$A:$B,2,0)))</f>
        <v>není alternativa</v>
      </c>
      <c r="S298" s="157" t="s">
        <v>262</v>
      </c>
      <c r="T298" s="157" t="s">
        <v>882</v>
      </c>
    </row>
    <row r="299" spans="1:20" x14ac:dyDescent="0.3">
      <c r="A299" s="275">
        <v>592</v>
      </c>
      <c r="B299" s="157" t="s">
        <v>1061</v>
      </c>
      <c r="C299" s="157" t="s">
        <v>512</v>
      </c>
      <c r="D299" s="158" t="s">
        <v>304</v>
      </c>
      <c r="E299" s="423">
        <v>52</v>
      </c>
      <c r="F299" s="419" t="s">
        <v>331</v>
      </c>
      <c r="G299" s="419" t="s">
        <v>243</v>
      </c>
      <c r="H299" s="419"/>
      <c r="I299" s="419"/>
      <c r="J299" s="419"/>
      <c r="K299" s="154" t="str">
        <f>IF(ISBLANK(E299),"ručně doplnit",IF(E299="-","není ve výkazech",IF(C299="Rozvaha",VLOOKUP(E299,'radky_R'!$A:$B,2,0),IF(C299="Výsledovka",VLOOKUP(E299,'radky_V'!A:M,2,0)))))</f>
        <v>Daň z příjmů odložená (+/-)</v>
      </c>
      <c r="R299" s="154" t="str">
        <f>IF(ISBLANK(L299),"není alternativa",IF(L299="-","není ve výkazech",VLOOKUP(L299,'radky_R'!$A:$B,2,0)))</f>
        <v>není alternativa</v>
      </c>
      <c r="S299" s="157" t="s">
        <v>262</v>
      </c>
      <c r="T299" s="157" t="s">
        <v>882</v>
      </c>
    </row>
    <row r="300" spans="1:20" x14ac:dyDescent="0.3">
      <c r="A300" s="275">
        <v>593</v>
      </c>
      <c r="C300" s="157" t="s">
        <v>512</v>
      </c>
      <c r="D300" s="158" t="s">
        <v>304</v>
      </c>
      <c r="E300" s="275"/>
      <c r="K300" s="154" t="str">
        <f>IF(ISBLANK(E300),"ručně doplnit",IF(E300="-","není ve výkazech",IF(C300="Rozvaha",VLOOKUP(E300,'radky_R'!$A:$B,2,0),IF(C300="Výsledovka",VLOOKUP(E300,'radky_V'!A:M,2,0)))))</f>
        <v>ručně doplnit</v>
      </c>
      <c r="R300" s="154" t="str">
        <f>IF(ISBLANK(L300),"není alternativa",IF(L300="-","není ve výkazech",VLOOKUP(L300,'radky_R'!$A:$B,2,0)))</f>
        <v>není alternativa</v>
      </c>
      <c r="S300" s="157" t="s">
        <v>262</v>
      </c>
      <c r="T300" s="157" t="s">
        <v>882</v>
      </c>
    </row>
    <row r="301" spans="1:20" x14ac:dyDescent="0.3">
      <c r="A301" s="275">
        <v>594</v>
      </c>
      <c r="C301" s="157" t="s">
        <v>512</v>
      </c>
      <c r="D301" s="158" t="s">
        <v>304</v>
      </c>
      <c r="E301" s="275"/>
      <c r="K301" s="154" t="str">
        <f>IF(ISBLANK(E301),"ručně doplnit",IF(E301="-","není ve výkazech",IF(C301="Rozvaha",VLOOKUP(E301,'radky_R'!$A:$B,2,0),IF(C301="Výsledovka",VLOOKUP(E301,'radky_V'!A:M,2,0)))))</f>
        <v>ručně doplnit</v>
      </c>
      <c r="R301" s="154" t="str">
        <f>IF(ISBLANK(L301),"není alternativa",IF(L301="-","není ve výkazech",VLOOKUP(L301,'radky_R'!$A:$B,2,0)))</f>
        <v>není alternativa</v>
      </c>
      <c r="S301" s="157" t="s">
        <v>262</v>
      </c>
      <c r="T301" s="157" t="s">
        <v>882</v>
      </c>
    </row>
    <row r="302" spans="1:20" x14ac:dyDescent="0.3">
      <c r="A302" s="275">
        <v>595</v>
      </c>
      <c r="B302" s="157" t="s">
        <v>191</v>
      </c>
      <c r="C302" s="157" t="s">
        <v>512</v>
      </c>
      <c r="D302" s="158" t="s">
        <v>304</v>
      </c>
      <c r="E302" s="423">
        <v>51</v>
      </c>
      <c r="F302" s="419" t="s">
        <v>331</v>
      </c>
      <c r="G302" s="419" t="s">
        <v>242</v>
      </c>
      <c r="H302" s="419"/>
      <c r="I302" s="419"/>
      <c r="J302" s="419"/>
      <c r="K302" s="154" t="str">
        <f>IF(ISBLANK(E302),"ručně doplnit",IF(E302="-","není ve výkazech",IF(C302="Rozvaha",VLOOKUP(E302,'radky_R'!$A:$B,2,0),IF(C302="Výsledovka",VLOOKUP(E302,'radky_V'!A:M,2,0)))))</f>
        <v>Daň z příjmů splatná</v>
      </c>
      <c r="R302" s="154" t="str">
        <f>IF(ISBLANK(L302),"není alternativa",IF(L302="-","není ve výkazech",VLOOKUP(L302,'radky_R'!$A:$B,2,0)))</f>
        <v>není alternativa</v>
      </c>
      <c r="S302" s="157" t="s">
        <v>262</v>
      </c>
      <c r="T302" s="157" t="s">
        <v>882</v>
      </c>
    </row>
    <row r="303" spans="1:20" x14ac:dyDescent="0.3">
      <c r="A303" s="275">
        <v>596</v>
      </c>
      <c r="B303" s="157" t="s">
        <v>192</v>
      </c>
      <c r="C303" s="157" t="s">
        <v>512</v>
      </c>
      <c r="D303" s="158" t="s">
        <v>304</v>
      </c>
      <c r="E303" s="423">
        <v>54</v>
      </c>
      <c r="F303" s="419" t="s">
        <v>332</v>
      </c>
      <c r="G303" s="419"/>
      <c r="H303" s="419"/>
      <c r="I303" s="419"/>
      <c r="J303" s="419"/>
      <c r="K303" s="154" t="str">
        <f>IF(ISBLANK(E303),"ručně doplnit",IF(E303="-","není ve výkazech",IF(C303="Rozvaha",VLOOKUP(E303,'radky_R'!$A:$B,2,0),IF(C303="Výsledovka",VLOOKUP(E303,'radky_V'!A:M,2,0)))))</f>
        <v>Převod podílu na výsledku hospodaření společníkům (+/-)</v>
      </c>
      <c r="R303" s="154" t="str">
        <f>IF(ISBLANK(L303),"není alternativa",IF(L303="-","není ve výkazech",VLOOKUP(L303,'radky_R'!$A:$B,2,0)))</f>
        <v>není alternativa</v>
      </c>
      <c r="S303" s="157" t="s">
        <v>262</v>
      </c>
      <c r="T303" s="157" t="s">
        <v>877</v>
      </c>
    </row>
    <row r="304" spans="1:20" x14ac:dyDescent="0.3">
      <c r="A304" s="275">
        <v>597</v>
      </c>
      <c r="B304" s="157" t="s">
        <v>193</v>
      </c>
      <c r="C304" s="157" t="s">
        <v>512</v>
      </c>
      <c r="D304" s="158" t="s">
        <v>319</v>
      </c>
      <c r="E304" s="423">
        <v>29</v>
      </c>
      <c r="F304" s="419" t="s">
        <v>312</v>
      </c>
      <c r="G304" s="419" t="s">
        <v>246</v>
      </c>
      <c r="H304" s="419"/>
      <c r="I304" s="419"/>
      <c r="J304" s="419"/>
      <c r="K304" s="154" t="str">
        <f>IF(ISBLANK(E304),"ručně doplnit",IF(E304="-","není ve výkazech",IF(C304="Rozvaha",VLOOKUP(E304,'radky_R'!$A:$B,2,0),IF(C304="Výsledovka",VLOOKUP(E304,'radky_V'!A:M,2,0)))))</f>
        <v>Jiné provozní náklady</v>
      </c>
      <c r="R304" s="154" t="str">
        <f>IF(ISBLANK(L304),"není alternativa",IF(L304="-","není ve výkazech",VLOOKUP(L304,'radky_R'!$A:$B,2,0)))</f>
        <v>není alternativa</v>
      </c>
      <c r="S304" s="157" t="s">
        <v>262</v>
      </c>
      <c r="T304" s="157" t="s">
        <v>877</v>
      </c>
    </row>
    <row r="305" spans="1:20" x14ac:dyDescent="0.3">
      <c r="A305" s="275">
        <v>598</v>
      </c>
      <c r="B305" s="157" t="s">
        <v>194</v>
      </c>
      <c r="C305" s="157" t="s">
        <v>512</v>
      </c>
      <c r="D305" s="158" t="s">
        <v>319</v>
      </c>
      <c r="E305" s="423">
        <v>47</v>
      </c>
      <c r="F305" s="419" t="s">
        <v>330</v>
      </c>
      <c r="G305" s="419"/>
      <c r="H305" s="419"/>
      <c r="I305" s="419"/>
      <c r="J305" s="419"/>
      <c r="K305" s="154" t="str">
        <f>IF(ISBLANK(E305),"ručně doplnit",IF(E305="-","není ve výkazech",IF(C305="Rozvaha",VLOOKUP(E305,'radky_R'!$A:$B,2,0),IF(C305="Výsledovka",VLOOKUP(E305,'radky_V'!A:M,2,0)))))</f>
        <v>Ostatní finanční náklady</v>
      </c>
      <c r="R305" s="154" t="str">
        <f>IF(ISBLANK(L305),"není alternativa",IF(L305="-","není ve výkazech",VLOOKUP(L305,'radky_R'!$A:$B,2,0)))</f>
        <v>není alternativa</v>
      </c>
      <c r="S305" s="157" t="s">
        <v>262</v>
      </c>
      <c r="T305" s="157" t="s">
        <v>877</v>
      </c>
    </row>
    <row r="306" spans="1:20" x14ac:dyDescent="0.3">
      <c r="A306" s="275">
        <v>599</v>
      </c>
      <c r="B306" s="157" t="s">
        <v>1062</v>
      </c>
      <c r="C306" s="157" t="s">
        <v>512</v>
      </c>
      <c r="D306" s="158" t="s">
        <v>304</v>
      </c>
      <c r="E306" s="423">
        <v>51</v>
      </c>
      <c r="F306" s="419" t="s">
        <v>331</v>
      </c>
      <c r="G306" s="419" t="s">
        <v>242</v>
      </c>
      <c r="H306" s="419"/>
      <c r="I306" s="419"/>
      <c r="J306" s="419"/>
      <c r="K306" s="154" t="str">
        <f>IF(ISBLANK(E306),"ručně doplnit",IF(E306="-","není ve výkazech",IF(C306="Rozvaha",VLOOKUP(E306,'radky_R'!$A:$B,2,0),IF(C306="Výsledovka",VLOOKUP(E306,'radky_V'!A:M,2,0)))))</f>
        <v>Daň z příjmů splatná</v>
      </c>
      <c r="R306" s="154" t="str">
        <f>IF(ISBLANK(L306),"není alternativa",IF(L306="-","není ve výkazech",VLOOKUP(L306,'radky_R'!$A:$B,2,0)))</f>
        <v>není alternativa</v>
      </c>
      <c r="S306" s="157" t="s">
        <v>262</v>
      </c>
      <c r="T306" s="157" t="s">
        <v>882</v>
      </c>
    </row>
    <row r="307" spans="1:20" x14ac:dyDescent="0.3">
      <c r="A307" s="275">
        <v>601</v>
      </c>
      <c r="B307" s="157" t="s">
        <v>195</v>
      </c>
      <c r="C307" s="157" t="s">
        <v>512</v>
      </c>
      <c r="D307" s="158" t="s">
        <v>320</v>
      </c>
      <c r="E307" s="423">
        <v>1</v>
      </c>
      <c r="F307" s="419" t="s">
        <v>241</v>
      </c>
      <c r="G307" s="419"/>
      <c r="H307" s="419"/>
      <c r="I307" s="419"/>
      <c r="J307" s="419"/>
      <c r="K307" s="154" t="str">
        <f>IF(ISBLANK(E307),"ručně doplnit",IF(E307="-","není ve výkazech",IF(C307="Rozvaha",VLOOKUP(E307,'radky_R'!$A:$B,2,0),IF(C307="Výsledovka",VLOOKUP(E307,'radky_V'!A:M,2,0)))))</f>
        <v>Tržby za prodej výrobků a služeb</v>
      </c>
      <c r="R307" s="154" t="str">
        <f>IF(ISBLANK(L307),"není alternativa",IF(L307="-","není ve výkazech",VLOOKUP(L307,'radky_R'!$A:$B,2,0)))</f>
        <v>není alternativa</v>
      </c>
      <c r="S307" s="157" t="s">
        <v>262</v>
      </c>
      <c r="T307" s="157" t="s">
        <v>879</v>
      </c>
    </row>
    <row r="308" spans="1:20" x14ac:dyDescent="0.3">
      <c r="A308" s="275">
        <v>602</v>
      </c>
      <c r="B308" s="157" t="s">
        <v>196</v>
      </c>
      <c r="C308" s="157" t="s">
        <v>512</v>
      </c>
      <c r="D308" s="158" t="s">
        <v>320</v>
      </c>
      <c r="E308" s="423">
        <v>1</v>
      </c>
      <c r="F308" s="419" t="s">
        <v>241</v>
      </c>
      <c r="G308" s="419"/>
      <c r="H308" s="419"/>
      <c r="I308" s="419"/>
      <c r="J308" s="419"/>
      <c r="K308" s="154" t="str">
        <f>IF(ISBLANK(E308),"ručně doplnit",IF(E308="-","není ve výkazech",IF(C308="Rozvaha",VLOOKUP(E308,'radky_R'!$A:$B,2,0),IF(C308="Výsledovka",VLOOKUP(E308,'radky_V'!A:M,2,0)))))</f>
        <v>Tržby za prodej výrobků a služeb</v>
      </c>
      <c r="R308" s="154" t="str">
        <f>IF(ISBLANK(L308),"není alternativa",IF(L308="-","není ve výkazech",VLOOKUP(L308,'radky_R'!$A:$B,2,0)))</f>
        <v>není alternativa</v>
      </c>
      <c r="S308" s="157" t="s">
        <v>262</v>
      </c>
      <c r="T308" s="157" t="s">
        <v>879</v>
      </c>
    </row>
    <row r="309" spans="1:20" x14ac:dyDescent="0.3">
      <c r="A309" s="275">
        <v>604</v>
      </c>
      <c r="B309" s="157" t="s">
        <v>197</v>
      </c>
      <c r="C309" s="157" t="s">
        <v>512</v>
      </c>
      <c r="D309" s="158" t="s">
        <v>320</v>
      </c>
      <c r="E309" s="423">
        <v>2</v>
      </c>
      <c r="F309" s="419" t="s">
        <v>251</v>
      </c>
      <c r="G309" s="419"/>
      <c r="H309" s="419"/>
      <c r="I309" s="419"/>
      <c r="J309" s="419"/>
      <c r="K309" s="154" t="str">
        <f>IF(ISBLANK(E309),"ručně doplnit",IF(E309="-","není ve výkazech",IF(C309="Rozvaha",VLOOKUP(E309,'radky_R'!$A:$B,2,0),IF(C309="Výsledovka",VLOOKUP(E309,'radky_V'!A:M,2,0)))))</f>
        <v xml:space="preserve">Tržby za prodej zboží </v>
      </c>
      <c r="R309" s="154" t="str">
        <f>IF(ISBLANK(L309),"není alternativa",IF(L309="-","není ve výkazech",VLOOKUP(L309,'radky_R'!$A:$B,2,0)))</f>
        <v>není alternativa</v>
      </c>
      <c r="S309" s="157" t="s">
        <v>262</v>
      </c>
      <c r="T309" s="157" t="s">
        <v>879</v>
      </c>
    </row>
    <row r="310" spans="1:20" x14ac:dyDescent="0.3">
      <c r="A310" s="275">
        <v>611</v>
      </c>
      <c r="B310" s="157" t="s">
        <v>198</v>
      </c>
      <c r="C310" s="157" t="s">
        <v>512</v>
      </c>
      <c r="D310" s="158" t="s">
        <v>320</v>
      </c>
      <c r="E310" s="423">
        <v>7</v>
      </c>
      <c r="F310" s="419" t="s">
        <v>240</v>
      </c>
      <c r="G310" s="419"/>
      <c r="H310" s="419"/>
      <c r="I310" s="419"/>
      <c r="J310" s="419"/>
      <c r="K310" s="154" t="str">
        <f>IF(ISBLANK(E310),"ručně doplnit",IF(E310="-","není ve výkazech",IF(C310="Rozvaha",VLOOKUP(E310,'radky_R'!$A:$B,2,0),IF(C310="Výsledovka",VLOOKUP(E310,'radky_V'!A:M,2,0)))))</f>
        <v>Změna stavu zásob vlastní činnosti (+/-)</v>
      </c>
      <c r="R310" s="154" t="str">
        <f>IF(ISBLANK(L310),"není alternativa",IF(L310="-","není ve výkazech",VLOOKUP(L310,'radky_R'!$A:$B,2,0)))</f>
        <v>není alternativa</v>
      </c>
      <c r="S310" s="157" t="s">
        <v>262</v>
      </c>
      <c r="T310" s="157" t="s">
        <v>878</v>
      </c>
    </row>
    <row r="311" spans="1:20" x14ac:dyDescent="0.3">
      <c r="A311" s="275">
        <v>612</v>
      </c>
      <c r="B311" s="157" t="s">
        <v>199</v>
      </c>
      <c r="C311" s="157" t="s">
        <v>512</v>
      </c>
      <c r="D311" s="158" t="s">
        <v>320</v>
      </c>
      <c r="E311" s="423">
        <v>7</v>
      </c>
      <c r="F311" s="419" t="s">
        <v>240</v>
      </c>
      <c r="G311" s="419"/>
      <c r="H311" s="419"/>
      <c r="I311" s="419"/>
      <c r="J311" s="419"/>
      <c r="K311" s="154" t="str">
        <f>IF(ISBLANK(E311),"ručně doplnit",IF(E311="-","není ve výkazech",IF(C311="Rozvaha",VLOOKUP(E311,'radky_R'!$A:$B,2,0),IF(C311="Výsledovka",VLOOKUP(E311,'radky_V'!A:M,2,0)))))</f>
        <v>Změna stavu zásob vlastní činnosti (+/-)</v>
      </c>
      <c r="R311" s="154" t="str">
        <f>IF(ISBLANK(L311),"není alternativa",IF(L311="-","není ve výkazech",VLOOKUP(L311,'radky_R'!$A:$B,2,0)))</f>
        <v>není alternativa</v>
      </c>
      <c r="S311" s="157" t="s">
        <v>262</v>
      </c>
      <c r="T311" s="157" t="s">
        <v>878</v>
      </c>
    </row>
    <row r="312" spans="1:20" x14ac:dyDescent="0.3">
      <c r="A312" s="275">
        <v>613</v>
      </c>
      <c r="B312" s="157" t="s">
        <v>200</v>
      </c>
      <c r="C312" s="157" t="s">
        <v>512</v>
      </c>
      <c r="D312" s="158" t="s">
        <v>320</v>
      </c>
      <c r="E312" s="423">
        <v>7</v>
      </c>
      <c r="F312" s="419" t="s">
        <v>240</v>
      </c>
      <c r="G312" s="419"/>
      <c r="H312" s="419"/>
      <c r="I312" s="419"/>
      <c r="J312" s="419"/>
      <c r="K312" s="154" t="str">
        <f>IF(ISBLANK(E312),"ručně doplnit",IF(E312="-","není ve výkazech",IF(C312="Rozvaha",VLOOKUP(E312,'radky_R'!$A:$B,2,0),IF(C312="Výsledovka",VLOOKUP(E312,'radky_V'!A:M,2,0)))))</f>
        <v>Změna stavu zásob vlastní činnosti (+/-)</v>
      </c>
      <c r="R312" s="154" t="str">
        <f>IF(ISBLANK(L312),"není alternativa",IF(L312="-","není ve výkazech",VLOOKUP(L312,'radky_R'!$A:$B,2,0)))</f>
        <v>není alternativa</v>
      </c>
      <c r="S312" s="157" t="s">
        <v>262</v>
      </c>
      <c r="T312" s="157" t="s">
        <v>878</v>
      </c>
    </row>
    <row r="313" spans="1:20" x14ac:dyDescent="0.3">
      <c r="A313" s="275">
        <v>614</v>
      </c>
      <c r="B313" s="157" t="s">
        <v>201</v>
      </c>
      <c r="C313" s="157" t="s">
        <v>512</v>
      </c>
      <c r="D313" s="158" t="s">
        <v>320</v>
      </c>
      <c r="E313" s="423">
        <v>7</v>
      </c>
      <c r="F313" s="419" t="s">
        <v>240</v>
      </c>
      <c r="G313" s="419"/>
      <c r="H313" s="419"/>
      <c r="I313" s="419"/>
      <c r="J313" s="419"/>
      <c r="K313" s="154" t="str">
        <f>IF(ISBLANK(E313),"ručně doplnit",IF(E313="-","není ve výkazech",IF(C313="Rozvaha",VLOOKUP(E313,'radky_R'!$A:$B,2,0),IF(C313="Výsledovka",VLOOKUP(E313,'radky_V'!A:M,2,0)))))</f>
        <v>Změna stavu zásob vlastní činnosti (+/-)</v>
      </c>
      <c r="R313" s="154" t="str">
        <f>IF(ISBLANK(L313),"není alternativa",IF(L313="-","není ve výkazech",VLOOKUP(L313,'radky_R'!$A:$B,2,0)))</f>
        <v>není alternativa</v>
      </c>
      <c r="S313" s="157" t="s">
        <v>262</v>
      </c>
      <c r="T313" s="157" t="s">
        <v>878</v>
      </c>
    </row>
    <row r="314" spans="1:20" x14ac:dyDescent="0.3">
      <c r="A314" s="275">
        <v>621</v>
      </c>
      <c r="B314" s="157" t="s">
        <v>202</v>
      </c>
      <c r="C314" s="157" t="s">
        <v>512</v>
      </c>
      <c r="D314" s="158" t="s">
        <v>320</v>
      </c>
      <c r="E314" s="423">
        <v>8</v>
      </c>
      <c r="F314" s="419" t="s">
        <v>265</v>
      </c>
      <c r="G314" s="419"/>
      <c r="H314" s="419"/>
      <c r="I314" s="419"/>
      <c r="J314" s="419"/>
      <c r="K314" s="154" t="str">
        <f>IF(ISBLANK(E314),"ručně doplnit",IF(E314="-","není ve výkazech",IF(C314="Rozvaha",VLOOKUP(E314,'radky_R'!$A:$B,2,0),IF(C314="Výsledovka",VLOOKUP(E314,'radky_V'!A:M,2,0)))))</f>
        <v>Aktivace (-)</v>
      </c>
      <c r="R314" s="154" t="str">
        <f>IF(ISBLANK(L314),"není alternativa",IF(L314="-","není ve výkazech",VLOOKUP(L314,'radky_R'!$A:$B,2,0)))</f>
        <v>není alternativa</v>
      </c>
      <c r="S314" s="157" t="s">
        <v>262</v>
      </c>
      <c r="T314" s="157" t="s">
        <v>878</v>
      </c>
    </row>
    <row r="315" spans="1:20" x14ac:dyDescent="0.3">
      <c r="A315" s="275">
        <v>622</v>
      </c>
      <c r="B315" s="157" t="s">
        <v>203</v>
      </c>
      <c r="C315" s="157" t="s">
        <v>512</v>
      </c>
      <c r="D315" s="158" t="s">
        <v>320</v>
      </c>
      <c r="E315" s="423">
        <v>8</v>
      </c>
      <c r="F315" s="419" t="s">
        <v>265</v>
      </c>
      <c r="G315" s="419"/>
      <c r="H315" s="419"/>
      <c r="I315" s="419"/>
      <c r="J315" s="419"/>
      <c r="K315" s="154" t="str">
        <f>IF(ISBLANK(E315),"ručně doplnit",IF(E315="-","není ve výkazech",IF(C315="Rozvaha",VLOOKUP(E315,'radky_R'!$A:$B,2,0),IF(C315="Výsledovka",VLOOKUP(E315,'radky_V'!A:M,2,0)))))</f>
        <v>Aktivace (-)</v>
      </c>
      <c r="R315" s="154" t="str">
        <f>IF(ISBLANK(L315),"není alternativa",IF(L315="-","není ve výkazech",VLOOKUP(L315,'radky_R'!$A:$B,2,0)))</f>
        <v>není alternativa</v>
      </c>
      <c r="S315" s="157" t="s">
        <v>262</v>
      </c>
      <c r="T315" s="157" t="s">
        <v>878</v>
      </c>
    </row>
    <row r="316" spans="1:20" x14ac:dyDescent="0.3">
      <c r="A316" s="275">
        <v>623</v>
      </c>
      <c r="B316" s="157" t="s">
        <v>204</v>
      </c>
      <c r="C316" s="157" t="s">
        <v>512</v>
      </c>
      <c r="D316" s="158" t="s">
        <v>320</v>
      </c>
      <c r="E316" s="423">
        <v>8</v>
      </c>
      <c r="F316" s="419" t="s">
        <v>265</v>
      </c>
      <c r="G316" s="419"/>
      <c r="H316" s="419"/>
      <c r="I316" s="419"/>
      <c r="J316" s="419"/>
      <c r="K316" s="154" t="str">
        <f>IF(ISBLANK(E316),"ručně doplnit",IF(E316="-","není ve výkazech",IF(C316="Rozvaha",VLOOKUP(E316,'radky_R'!$A:$B,2,0),IF(C316="Výsledovka",VLOOKUP(E316,'radky_V'!A:M,2,0)))))</f>
        <v>Aktivace (-)</v>
      </c>
      <c r="R316" s="154" t="str">
        <f>IF(ISBLANK(L316),"není alternativa",IF(L316="-","není ve výkazech",VLOOKUP(L316,'radky_R'!$A:$B,2,0)))</f>
        <v>není alternativa</v>
      </c>
      <c r="S316" s="157" t="s">
        <v>262</v>
      </c>
      <c r="T316" s="157" t="s">
        <v>876</v>
      </c>
    </row>
    <row r="317" spans="1:20" x14ac:dyDescent="0.3">
      <c r="A317" s="275">
        <v>624</v>
      </c>
      <c r="B317" s="157" t="s">
        <v>205</v>
      </c>
      <c r="C317" s="157" t="s">
        <v>512</v>
      </c>
      <c r="D317" s="158" t="s">
        <v>320</v>
      </c>
      <c r="E317" s="423">
        <v>8</v>
      </c>
      <c r="F317" s="419" t="s">
        <v>265</v>
      </c>
      <c r="G317" s="419"/>
      <c r="H317" s="419"/>
      <c r="I317" s="419"/>
      <c r="J317" s="419"/>
      <c r="K317" s="154" t="str">
        <f>IF(ISBLANK(E317),"ručně doplnit",IF(E317="-","není ve výkazech",IF(C317="Rozvaha",VLOOKUP(E317,'radky_R'!$A:$B,2,0),IF(C317="Výsledovka",VLOOKUP(E317,'radky_V'!A:M,2,0)))))</f>
        <v>Aktivace (-)</v>
      </c>
      <c r="R317" s="154" t="str">
        <f>IF(ISBLANK(L317),"není alternativa",IF(L317="-","není ve výkazech",VLOOKUP(L317,'radky_R'!$A:$B,2,0)))</f>
        <v>není alternativa</v>
      </c>
      <c r="S317" s="157" t="s">
        <v>262</v>
      </c>
      <c r="T317" s="157" t="s">
        <v>876</v>
      </c>
    </row>
    <row r="318" spans="1:20" x14ac:dyDescent="0.3">
      <c r="A318" s="275">
        <v>641</v>
      </c>
      <c r="B318" s="157" t="s">
        <v>206</v>
      </c>
      <c r="C318" s="157" t="s">
        <v>512</v>
      </c>
      <c r="D318" s="158" t="s">
        <v>320</v>
      </c>
      <c r="E318" s="423">
        <v>21</v>
      </c>
      <c r="F318" s="419" t="s">
        <v>256</v>
      </c>
      <c r="G318" s="419" t="s">
        <v>242</v>
      </c>
      <c r="H318" s="419"/>
      <c r="I318" s="419"/>
      <c r="J318" s="419"/>
      <c r="K318" s="154" t="str">
        <f>IF(ISBLANK(E318),"ručně doplnit",IF(E318="-","není ve výkazech",IF(C318="Rozvaha",VLOOKUP(E318,'radky_R'!$A:$B,2,0),IF(C318="Výsledovka",VLOOKUP(E318,'radky_V'!A:M,2,0)))))</f>
        <v xml:space="preserve">Tržby z prodaného dlouhodobého majetku </v>
      </c>
      <c r="R318" s="154" t="str">
        <f>IF(ISBLANK(L318),"není alternativa",IF(L318="-","není ve výkazech",VLOOKUP(L318,'radky_R'!$A:$B,2,0)))</f>
        <v>není alternativa</v>
      </c>
      <c r="S318" s="157" t="s">
        <v>262</v>
      </c>
      <c r="T318" s="157" t="s">
        <v>876</v>
      </c>
    </row>
    <row r="319" spans="1:20" x14ac:dyDescent="0.3">
      <c r="A319" s="275">
        <v>642</v>
      </c>
      <c r="B319" s="157" t="s">
        <v>207</v>
      </c>
      <c r="C319" s="157" t="s">
        <v>512</v>
      </c>
      <c r="D319" s="158" t="s">
        <v>320</v>
      </c>
      <c r="E319" s="423">
        <v>22</v>
      </c>
      <c r="F319" s="419" t="s">
        <v>256</v>
      </c>
      <c r="G319" s="419" t="s">
        <v>243</v>
      </c>
      <c r="H319" s="419"/>
      <c r="I319" s="419"/>
      <c r="J319" s="419"/>
      <c r="K319" s="154" t="str">
        <f>IF(ISBLANK(E319),"ručně doplnit",IF(E319="-","není ve výkazech",IF(C319="Rozvaha",VLOOKUP(E319,'radky_R'!$A:$B,2,0),IF(C319="Výsledovka",VLOOKUP(E319,'radky_V'!A:M,2,0)))))</f>
        <v>Tržby z prodaného materiálu</v>
      </c>
      <c r="R319" s="154" t="str">
        <f>IF(ISBLANK(L319),"není alternativa",IF(L319="-","není ve výkazech",VLOOKUP(L319,'radky_R'!$A:$B,2,0)))</f>
        <v>není alternativa</v>
      </c>
      <c r="S319" s="157" t="s">
        <v>262</v>
      </c>
      <c r="T319" s="157" t="s">
        <v>878</v>
      </c>
    </row>
    <row r="320" spans="1:20" x14ac:dyDescent="0.3">
      <c r="A320" s="275">
        <v>644</v>
      </c>
      <c r="B320" s="157" t="s">
        <v>169</v>
      </c>
      <c r="C320" s="157" t="s">
        <v>512</v>
      </c>
      <c r="D320" s="158" t="s">
        <v>320</v>
      </c>
      <c r="E320" s="423">
        <v>23</v>
      </c>
      <c r="F320" s="419" t="s">
        <v>256</v>
      </c>
      <c r="G320" s="419">
        <v>3</v>
      </c>
      <c r="H320" s="419"/>
      <c r="I320" s="419"/>
      <c r="J320" s="419"/>
      <c r="K320" s="154" t="str">
        <f>IF(ISBLANK(E320),"ručně doplnit",IF(E320="-","není ve výkazech",IF(C320="Rozvaha",VLOOKUP(E320,'radky_R'!$A:$B,2,0),IF(C320="Výsledovka",VLOOKUP(E320,'radky_V'!A:M,2,0)))))</f>
        <v>Jiné provozní výnosy</v>
      </c>
      <c r="R320" s="154" t="str">
        <f>IF(ISBLANK(L320),"není alternativa",IF(L320="-","není ve výkazech",VLOOKUP(L320,'radky_R'!$A:$B,2,0)))</f>
        <v>není alternativa</v>
      </c>
      <c r="S320" s="157" t="s">
        <v>262</v>
      </c>
      <c r="T320" s="157" t="s">
        <v>879</v>
      </c>
    </row>
    <row r="321" spans="1:20" x14ac:dyDescent="0.3">
      <c r="A321" s="275">
        <v>646</v>
      </c>
      <c r="B321" s="157" t="s">
        <v>208</v>
      </c>
      <c r="C321" s="157" t="s">
        <v>512</v>
      </c>
      <c r="D321" s="158" t="s">
        <v>320</v>
      </c>
      <c r="E321" s="423">
        <v>23</v>
      </c>
      <c r="F321" s="419" t="s">
        <v>256</v>
      </c>
      <c r="G321" s="419">
        <v>3</v>
      </c>
      <c r="H321" s="419"/>
      <c r="I321" s="419"/>
      <c r="J321" s="419"/>
      <c r="K321" s="154" t="str">
        <f>IF(ISBLANK(E321),"ručně doplnit",IF(E321="-","není ve výkazech",IF(C321="Rozvaha",VLOOKUP(E321,'radky_R'!$A:$B,2,0),IF(C321="Výsledovka",VLOOKUP(E321,'radky_V'!A:M,2,0)))))</f>
        <v>Jiné provozní výnosy</v>
      </c>
      <c r="R321" s="154" t="str">
        <f>IF(ISBLANK(L321),"není alternativa",IF(L321="-","není ve výkazech",VLOOKUP(L321,'radky_R'!$A:$B,2,0)))</f>
        <v>není alternativa</v>
      </c>
      <c r="S321" s="157" t="s">
        <v>262</v>
      </c>
      <c r="T321" s="157" t="s">
        <v>879</v>
      </c>
    </row>
    <row r="322" spans="1:20" x14ac:dyDescent="0.3">
      <c r="A322" s="275">
        <v>648</v>
      </c>
      <c r="B322" s="157" t="s">
        <v>209</v>
      </c>
      <c r="C322" s="157" t="s">
        <v>512</v>
      </c>
      <c r="D322" s="158" t="s">
        <v>320</v>
      </c>
      <c r="E322" s="423">
        <v>23</v>
      </c>
      <c r="F322" s="419" t="s">
        <v>256</v>
      </c>
      <c r="G322" s="419">
        <v>3</v>
      </c>
      <c r="H322" s="419"/>
      <c r="I322" s="419"/>
      <c r="J322" s="419"/>
      <c r="K322" s="154" t="str">
        <f>IF(ISBLANK(E322),"ručně doplnit",IF(E322="-","není ve výkazech",IF(C322="Rozvaha",VLOOKUP(E322,'radky_R'!$A:$B,2,0),IF(C322="Výsledovka",VLOOKUP(E322,'radky_V'!A:M,2,0)))))</f>
        <v>Jiné provozní výnosy</v>
      </c>
      <c r="R322" s="154" t="str">
        <f>IF(ISBLANK(L322),"není alternativa",IF(L322="-","není ve výkazech",VLOOKUP(L322,'radky_R'!$A:$B,2,0)))</f>
        <v>není alternativa</v>
      </c>
      <c r="S322" s="157" t="s">
        <v>262</v>
      </c>
      <c r="T322" s="157" t="s">
        <v>879</v>
      </c>
    </row>
    <row r="323" spans="1:20" x14ac:dyDescent="0.3">
      <c r="A323" s="275">
        <v>649</v>
      </c>
      <c r="B323" s="157" t="s">
        <v>1063</v>
      </c>
      <c r="C323" s="157" t="s">
        <v>512</v>
      </c>
      <c r="D323" s="158" t="s">
        <v>320</v>
      </c>
      <c r="E323" s="423">
        <v>23</v>
      </c>
      <c r="F323" s="419" t="s">
        <v>256</v>
      </c>
      <c r="G323" s="419">
        <v>3</v>
      </c>
      <c r="H323" s="419"/>
      <c r="I323" s="419"/>
      <c r="J323" s="419"/>
      <c r="K323" s="154" t="str">
        <f>IF(ISBLANK(E323),"ručně doplnit",IF(E323="-","není ve výkazech",IF(C323="Rozvaha",VLOOKUP(E323,'radky_R'!$A:$B,2,0),IF(C323="Výsledovka",VLOOKUP(E323,'radky_V'!A:M,2,0)))))</f>
        <v>Jiné provozní výnosy</v>
      </c>
      <c r="R323" s="154" t="str">
        <f>IF(ISBLANK(L323),"není alternativa",IF(L323="-","není ve výkazech",VLOOKUP(L323,'radky_R'!$A:$B,2,0)))</f>
        <v>není alternativa</v>
      </c>
      <c r="S323" s="157" t="s">
        <v>262</v>
      </c>
      <c r="T323" s="157" t="s">
        <v>879</v>
      </c>
    </row>
    <row r="324" spans="1:20" x14ac:dyDescent="0.3">
      <c r="A324" s="275">
        <v>661</v>
      </c>
      <c r="B324" s="157" t="s">
        <v>210</v>
      </c>
      <c r="C324" s="157" t="s">
        <v>512</v>
      </c>
      <c r="D324" s="158" t="s">
        <v>320</v>
      </c>
      <c r="E324" s="423"/>
      <c r="F324" s="419" t="s">
        <v>273</v>
      </c>
      <c r="G324" s="419" t="s">
        <v>242</v>
      </c>
      <c r="H324" s="419"/>
      <c r="I324" s="419"/>
      <c r="J324" s="419"/>
      <c r="K324" s="154" t="str">
        <f>IF(ISBLANK(E324),"ručně doplnit",IF(E324="-","není ve výkazech",IF(C324="Rozvaha",VLOOKUP(E324,'radky_R'!$A:$B,2,0),IF(C324="Výsledovka",VLOOKUP(E324,'radky_V'!A:M,2,0)))))</f>
        <v>ručně doplnit</v>
      </c>
      <c r="R324" s="154" t="str">
        <f>IF(ISBLANK(L324),"není alternativa",IF(L324="-","není ve výkazech",VLOOKUP(L324,'radky_R'!$A:$B,2,0)))</f>
        <v>není alternativa</v>
      </c>
      <c r="S324" s="157" t="s">
        <v>262</v>
      </c>
      <c r="T324" s="157" t="s">
        <v>877</v>
      </c>
    </row>
    <row r="325" spans="1:20" x14ac:dyDescent="0.3">
      <c r="A325" s="275">
        <v>661</v>
      </c>
      <c r="B325" s="157" t="s">
        <v>210</v>
      </c>
      <c r="C325" s="157" t="s">
        <v>512</v>
      </c>
      <c r="D325" s="158" t="s">
        <v>320</v>
      </c>
      <c r="E325" s="423"/>
      <c r="F325" s="419" t="s">
        <v>273</v>
      </c>
      <c r="G325" s="419" t="s">
        <v>243</v>
      </c>
      <c r="H325" s="419"/>
      <c r="I325" s="419"/>
      <c r="J325" s="419"/>
      <c r="K325" s="154" t="str">
        <f>IF(ISBLANK(E325),"ručně doplnit",IF(E325="-","není ve výkazech",IF(C325="Rozvaha",VLOOKUP(E325,'radky_R'!$A:$B,2,0),IF(C325="Výsledovka",VLOOKUP(E325,'radky_V'!A:M,2,0)))))</f>
        <v>ručně doplnit</v>
      </c>
      <c r="R325" s="154" t="str">
        <f>IF(ISBLANK(L325),"není alternativa",IF(L325="-","není ve výkazech",VLOOKUP(L325,'radky_R'!$A:$B,2,0)))</f>
        <v>není alternativa</v>
      </c>
      <c r="S325" s="157" t="s">
        <v>262</v>
      </c>
      <c r="T325" s="157" t="s">
        <v>877</v>
      </c>
    </row>
    <row r="326" spans="1:20" x14ac:dyDescent="0.3">
      <c r="A326" s="275">
        <v>661</v>
      </c>
      <c r="B326" s="157" t="s">
        <v>210</v>
      </c>
      <c r="C326" s="157" t="s">
        <v>512</v>
      </c>
      <c r="D326" s="158" t="s">
        <v>320</v>
      </c>
      <c r="E326" s="423"/>
      <c r="F326" s="419" t="s">
        <v>281</v>
      </c>
      <c r="G326" s="419" t="s">
        <v>242</v>
      </c>
      <c r="H326" s="419"/>
      <c r="I326" s="419"/>
      <c r="J326" s="419"/>
      <c r="K326" s="154" t="str">
        <f>IF(ISBLANK(E326),"ručně doplnit",IF(E326="-","není ve výkazech",IF(C326="Rozvaha",VLOOKUP(E326,'radky_R'!$A:$B,2,0),IF(C326="Výsledovka",VLOOKUP(E326,'radky_V'!A:M,2,0)))))</f>
        <v>ručně doplnit</v>
      </c>
      <c r="R326" s="154" t="str">
        <f>IF(ISBLANK(L326),"není alternativa",IF(L326="-","není ve výkazech",VLOOKUP(L326,'radky_R'!$A:$B,2,0)))</f>
        <v>není alternativa</v>
      </c>
      <c r="S326" s="157" t="s">
        <v>262</v>
      </c>
      <c r="T326" s="157" t="s">
        <v>877</v>
      </c>
    </row>
    <row r="327" spans="1:20" x14ac:dyDescent="0.3">
      <c r="A327" s="275">
        <v>661</v>
      </c>
      <c r="B327" s="157" t="s">
        <v>210</v>
      </c>
      <c r="C327" s="157" t="s">
        <v>512</v>
      </c>
      <c r="D327" s="158" t="s">
        <v>320</v>
      </c>
      <c r="E327" s="423"/>
      <c r="F327" s="419" t="s">
        <v>281</v>
      </c>
      <c r="G327" s="419" t="s">
        <v>243</v>
      </c>
      <c r="H327" s="419"/>
      <c r="I327" s="419"/>
      <c r="J327" s="419"/>
      <c r="K327" s="154" t="str">
        <f>IF(ISBLANK(E327),"ručně doplnit",IF(E327="-","není ve výkazech",IF(C327="Rozvaha",VLOOKUP(E327,'radky_R'!$A:$B,2,0),IF(C327="Výsledovka",VLOOKUP(E327,'radky_V'!A:M,2,0)))))</f>
        <v>ručně doplnit</v>
      </c>
      <c r="R327" s="154" t="str">
        <f>IF(ISBLANK(L327),"není alternativa",IF(L327="-","není ve výkazech",VLOOKUP(L327,'radky_R'!$A:$B,2,0)))</f>
        <v>není alternativa</v>
      </c>
      <c r="S327" s="157" t="s">
        <v>262</v>
      </c>
      <c r="T327" s="157" t="s">
        <v>877</v>
      </c>
    </row>
    <row r="328" spans="1:20" x14ac:dyDescent="0.3">
      <c r="A328" s="275">
        <v>661</v>
      </c>
      <c r="B328" s="157" t="s">
        <v>210</v>
      </c>
      <c r="C328" s="157" t="s">
        <v>512</v>
      </c>
      <c r="D328" s="158" t="s">
        <v>320</v>
      </c>
      <c r="E328" s="423"/>
      <c r="F328" s="419" t="s">
        <v>329</v>
      </c>
      <c r="G328" s="419"/>
      <c r="H328" s="419"/>
      <c r="I328" s="419"/>
      <c r="J328" s="419"/>
      <c r="K328" s="154" t="str">
        <f>IF(ISBLANK(E328),"ručně doplnit",IF(E328="-","není ve výkazech",IF(C328="Rozvaha",VLOOKUP(E328,'radky_R'!$A:$B,2,0),IF(C328="Výsledovka",VLOOKUP(E328,'radky_V'!A:M,2,0)))))</f>
        <v>ručně doplnit</v>
      </c>
      <c r="R328" s="154" t="str">
        <f>IF(ISBLANK(L328),"není alternativa",IF(L328="-","není ve výkazech",VLOOKUP(L328,'radky_R'!$A:$B,2,0)))</f>
        <v>není alternativa</v>
      </c>
      <c r="S328" s="157" t="s">
        <v>262</v>
      </c>
      <c r="T328" s="157" t="s">
        <v>877</v>
      </c>
    </row>
    <row r="329" spans="1:20" x14ac:dyDescent="0.3">
      <c r="A329" s="275">
        <v>662</v>
      </c>
      <c r="B329" s="157" t="s">
        <v>181</v>
      </c>
      <c r="C329" s="157" t="s">
        <v>512</v>
      </c>
      <c r="D329" s="158" t="s">
        <v>320</v>
      </c>
      <c r="E329" s="423">
        <v>41</v>
      </c>
      <c r="F329" s="419" t="s">
        <v>327</v>
      </c>
      <c r="G329" s="419" t="s">
        <v>243</v>
      </c>
      <c r="H329" s="419"/>
      <c r="I329" s="419"/>
      <c r="J329" s="419"/>
      <c r="K329" s="154" t="str">
        <f>IF(ISBLANK(E329),"ručně doplnit",IF(E329="-","není ve výkazech",IF(C329="Rozvaha",VLOOKUP(E329,'radky_R'!$A:$B,2,0),IF(C329="Výsledovka",VLOOKUP(E329,'radky_V'!A:M,2,0)))))</f>
        <v>Ostatní výnosové úroky a podobné výnosy</v>
      </c>
      <c r="R329" s="154" t="str">
        <f>IF(ISBLANK(L329),"není alternativa",IF(L329="-","není ve výkazech",VLOOKUP(L329,'radky_R'!$A:$B,2,0)))</f>
        <v>není alternativa</v>
      </c>
      <c r="S329" s="157" t="s">
        <v>262</v>
      </c>
      <c r="T329" s="157" t="s">
        <v>877</v>
      </c>
    </row>
    <row r="330" spans="1:20" x14ac:dyDescent="0.3">
      <c r="A330" s="275">
        <v>662</v>
      </c>
      <c r="B330" s="157" t="s">
        <v>181</v>
      </c>
      <c r="C330" s="157" t="s">
        <v>512</v>
      </c>
      <c r="D330" s="158" t="s">
        <v>320</v>
      </c>
      <c r="E330" s="423">
        <v>40</v>
      </c>
      <c r="F330" s="419" t="s">
        <v>327</v>
      </c>
      <c r="G330" s="419" t="s">
        <v>242</v>
      </c>
      <c r="H330" s="419"/>
      <c r="I330" s="419"/>
      <c r="J330" s="419"/>
      <c r="K330" s="154" t="str">
        <f>IF(ISBLANK(E330),"ručně doplnit",IF(E330="-","není ve výkazech",IF(C330="Rozvaha",VLOOKUP(E330,'radky_R'!$A:$B,2,0),IF(C330="Výsledovka",VLOOKUP(E330,'radky_V'!A:M,2,0)))))</f>
        <v>Výnos. úroky a podobné výnosy - ovládaná nebo ovládající osoba</v>
      </c>
      <c r="R330" s="154" t="str">
        <f>IF(ISBLANK(L330),"není alternativa",IF(L330="-","není ve výkazech",VLOOKUP(L330,'radky_R'!$A:$B,2,0)))</f>
        <v>není alternativa</v>
      </c>
      <c r="S330" s="157" t="s">
        <v>262</v>
      </c>
      <c r="T330" s="157" t="s">
        <v>877</v>
      </c>
    </row>
    <row r="331" spans="1:20" x14ac:dyDescent="0.3">
      <c r="A331" s="275">
        <v>663</v>
      </c>
      <c r="B331" s="157" t="s">
        <v>211</v>
      </c>
      <c r="C331" s="157" t="s">
        <v>512</v>
      </c>
      <c r="D331" s="158" t="s">
        <v>320</v>
      </c>
      <c r="E331" s="423">
        <v>46</v>
      </c>
      <c r="F331" s="419" t="s">
        <v>329</v>
      </c>
      <c r="G331" s="419"/>
      <c r="H331" s="419"/>
      <c r="I331" s="419"/>
      <c r="J331" s="419"/>
      <c r="K331" s="154" t="str">
        <f>IF(ISBLANK(E331),"ručně doplnit",IF(E331="-","není ve výkazech",IF(C331="Rozvaha",VLOOKUP(E331,'radky_R'!$A:$B,2,0),IF(C331="Výsledovka",VLOOKUP(E331,'radky_V'!A:M,2,0)))))</f>
        <v>Ostatní finanční výnosy</v>
      </c>
      <c r="R331" s="154" t="str">
        <f>IF(ISBLANK(L331),"není alternativa",IF(L331="-","není ve výkazech",VLOOKUP(L331,'radky_R'!$A:$B,2,0)))</f>
        <v>není alternativa</v>
      </c>
      <c r="S331" s="157" t="s">
        <v>262</v>
      </c>
      <c r="T331" s="157" t="s">
        <v>877</v>
      </c>
    </row>
    <row r="332" spans="1:20" x14ac:dyDescent="0.3">
      <c r="A332" s="275">
        <v>664</v>
      </c>
      <c r="B332" s="157" t="s">
        <v>212</v>
      </c>
      <c r="C332" s="157" t="s">
        <v>512</v>
      </c>
      <c r="D332" s="158" t="s">
        <v>320</v>
      </c>
      <c r="E332" s="423">
        <v>46</v>
      </c>
      <c r="F332" s="419" t="s">
        <v>329</v>
      </c>
      <c r="G332" s="419"/>
      <c r="H332" s="419"/>
      <c r="I332" s="419"/>
      <c r="J332" s="419"/>
      <c r="K332" s="154" t="str">
        <f>IF(ISBLANK(E332),"ručně doplnit",IF(E332="-","není ve výkazech",IF(C332="Rozvaha",VLOOKUP(E332,'radky_R'!$A:$B,2,0),IF(C332="Výsledovka",VLOOKUP(E332,'radky_V'!A:M,2,0)))))</f>
        <v>Ostatní finanční výnosy</v>
      </c>
      <c r="R332" s="154" t="str">
        <f>IF(ISBLANK(L332),"není alternativa",IF(L332="-","není ve výkazech",VLOOKUP(L332,'radky_R'!$A:$B,2,0)))</f>
        <v>není alternativa</v>
      </c>
      <c r="S332" s="157" t="s">
        <v>262</v>
      </c>
      <c r="T332" s="157" t="s">
        <v>877</v>
      </c>
    </row>
    <row r="333" spans="1:20" x14ac:dyDescent="0.3">
      <c r="A333" s="275">
        <v>665</v>
      </c>
      <c r="B333" s="157" t="s">
        <v>213</v>
      </c>
      <c r="C333" s="157" t="s">
        <v>512</v>
      </c>
      <c r="D333" s="158" t="s">
        <v>320</v>
      </c>
      <c r="E333" s="275"/>
      <c r="F333" s="158" t="s">
        <v>273</v>
      </c>
      <c r="G333" s="158" t="s">
        <v>242</v>
      </c>
      <c r="K333" s="154" t="str">
        <f>IF(ISBLANK(E333),"ručně doplnit",IF(E333="-","není ve výkazech",IF(C333="Rozvaha",VLOOKUP(E333,'radky_R'!$A:$B,2,0),IF(C333="Výsledovka",VLOOKUP(E333,'radky_V'!A:M,2,0)))))</f>
        <v>ručně doplnit</v>
      </c>
      <c r="R333" s="154" t="str">
        <f>IF(ISBLANK(L333),"není alternativa",IF(L333="-","není ve výkazech",VLOOKUP(L333,'radky_R'!$A:$B,2,0)))</f>
        <v>není alternativa</v>
      </c>
      <c r="S333" s="157" t="s">
        <v>262</v>
      </c>
      <c r="T333" s="157" t="s">
        <v>877</v>
      </c>
    </row>
    <row r="334" spans="1:20" x14ac:dyDescent="0.3">
      <c r="A334" s="275">
        <v>665</v>
      </c>
      <c r="B334" s="157" t="s">
        <v>213</v>
      </c>
      <c r="C334" s="157" t="s">
        <v>512</v>
      </c>
      <c r="D334" s="158" t="s">
        <v>320</v>
      </c>
      <c r="E334" s="275"/>
      <c r="F334" s="158" t="s">
        <v>273</v>
      </c>
      <c r="G334" s="158" t="s">
        <v>243</v>
      </c>
      <c r="K334" s="154" t="str">
        <f>IF(ISBLANK(E334),"ručně doplnit",IF(E334="-","není ve výkazech",IF(C334="Rozvaha",VLOOKUP(E334,'radky_R'!$A:$B,2,0),IF(C334="Výsledovka",VLOOKUP(E334,'radky_V'!A:M,2,0)))))</f>
        <v>ručně doplnit</v>
      </c>
      <c r="R334" s="154" t="str">
        <f>IF(ISBLANK(L334),"není alternativa",IF(L334="-","není ve výkazech",VLOOKUP(L334,'radky_R'!$A:$B,2,0)))</f>
        <v>není alternativa</v>
      </c>
      <c r="S334" s="157" t="s">
        <v>262</v>
      </c>
      <c r="T334" s="157" t="s">
        <v>877</v>
      </c>
    </row>
    <row r="335" spans="1:20" x14ac:dyDescent="0.3">
      <c r="A335" s="275">
        <v>665</v>
      </c>
      <c r="B335" s="157" t="s">
        <v>213</v>
      </c>
      <c r="C335" s="157" t="s">
        <v>512</v>
      </c>
      <c r="D335" s="158" t="s">
        <v>320</v>
      </c>
      <c r="E335" s="275"/>
      <c r="F335" s="158" t="s">
        <v>281</v>
      </c>
      <c r="G335" s="158" t="s">
        <v>242</v>
      </c>
      <c r="K335" s="154" t="str">
        <f>IF(ISBLANK(E335),"ručně doplnit",IF(E335="-","není ve výkazech",IF(C335="Rozvaha",VLOOKUP(E335,'radky_R'!$A:$B,2,0),IF(C335="Výsledovka",VLOOKUP(E335,'radky_V'!A:M,2,0)))))</f>
        <v>ručně doplnit</v>
      </c>
      <c r="R335" s="154" t="str">
        <f>IF(ISBLANK(L335),"není alternativa",IF(L335="-","není ve výkazech",VLOOKUP(L335,'radky_R'!$A:$B,2,0)))</f>
        <v>není alternativa</v>
      </c>
      <c r="S335" s="157" t="s">
        <v>262</v>
      </c>
      <c r="T335" s="157" t="s">
        <v>877</v>
      </c>
    </row>
    <row r="336" spans="1:20" x14ac:dyDescent="0.3">
      <c r="A336" s="275">
        <v>665</v>
      </c>
      <c r="B336" s="157" t="s">
        <v>213</v>
      </c>
      <c r="C336" s="157" t="s">
        <v>512</v>
      </c>
      <c r="D336" s="158" t="s">
        <v>320</v>
      </c>
      <c r="E336" s="275"/>
      <c r="F336" s="158" t="s">
        <v>281</v>
      </c>
      <c r="G336" s="158" t="s">
        <v>243</v>
      </c>
      <c r="K336" s="154" t="str">
        <f>IF(ISBLANK(E336),"ručně doplnit",IF(E336="-","není ve výkazech",IF(C336="Rozvaha",VLOOKUP(E336,'radky_R'!$A:$B,2,0),IF(C336="Výsledovka",VLOOKUP(E336,'radky_V'!A:M,2,0)))))</f>
        <v>ručně doplnit</v>
      </c>
      <c r="R336" s="154" t="str">
        <f>IF(ISBLANK(L336),"není alternativa",IF(L336="-","není ve výkazech",VLOOKUP(L336,'radky_R'!$A:$B,2,0)))</f>
        <v>není alternativa</v>
      </c>
      <c r="S336" s="157" t="s">
        <v>262</v>
      </c>
      <c r="T336" s="157" t="s">
        <v>877</v>
      </c>
    </row>
    <row r="337" spans="1:20" x14ac:dyDescent="0.3">
      <c r="A337" s="275">
        <v>665</v>
      </c>
      <c r="B337" s="157" t="s">
        <v>213</v>
      </c>
      <c r="C337" s="157" t="s">
        <v>512</v>
      </c>
      <c r="D337" s="158" t="s">
        <v>320</v>
      </c>
      <c r="E337" s="275"/>
      <c r="F337" s="158" t="s">
        <v>327</v>
      </c>
      <c r="G337" s="158" t="s">
        <v>242</v>
      </c>
      <c r="K337" s="154" t="str">
        <f>IF(ISBLANK(E337),"ručně doplnit",IF(E337="-","není ve výkazech",IF(C337="Rozvaha",VLOOKUP(E337,'radky_R'!$A:$B,2,0),IF(C337="Výsledovka",VLOOKUP(E337,'radky_V'!A:M,2,0)))))</f>
        <v>ručně doplnit</v>
      </c>
      <c r="R337" s="154" t="str">
        <f>IF(ISBLANK(L337),"není alternativa",IF(L337="-","není ve výkazech",VLOOKUP(L337,'radky_R'!$A:$B,2,0)))</f>
        <v>není alternativa</v>
      </c>
      <c r="S337" s="157" t="s">
        <v>262</v>
      </c>
      <c r="T337" s="157" t="s">
        <v>877</v>
      </c>
    </row>
    <row r="338" spans="1:20" x14ac:dyDescent="0.3">
      <c r="A338" s="275">
        <v>665</v>
      </c>
      <c r="B338" s="157" t="s">
        <v>213</v>
      </c>
      <c r="C338" s="157" t="s">
        <v>512</v>
      </c>
      <c r="D338" s="158" t="s">
        <v>320</v>
      </c>
      <c r="E338" s="275"/>
      <c r="F338" s="158" t="s">
        <v>327</v>
      </c>
      <c r="G338" s="158" t="s">
        <v>243</v>
      </c>
      <c r="K338" s="154" t="str">
        <f>IF(ISBLANK(E338),"ručně doplnit",IF(E338="-","není ve výkazech",IF(C338="Rozvaha",VLOOKUP(E338,'radky_R'!$A:$B,2,0),IF(C338="Výsledovka",VLOOKUP(E338,'radky_V'!A:M,2,0)))))</f>
        <v>ručně doplnit</v>
      </c>
      <c r="R338" s="154" t="str">
        <f>IF(ISBLANK(L338),"není alternativa",IF(L338="-","není ve výkazech",VLOOKUP(L338,'radky_R'!$A:$B,2,0)))</f>
        <v>není alternativa</v>
      </c>
      <c r="S338" s="157" t="s">
        <v>262</v>
      </c>
      <c r="T338" s="157" t="s">
        <v>877</v>
      </c>
    </row>
    <row r="339" spans="1:20" x14ac:dyDescent="0.3">
      <c r="A339" s="275">
        <v>666</v>
      </c>
      <c r="B339" s="157" t="s">
        <v>214</v>
      </c>
      <c r="C339" s="157" t="s">
        <v>512</v>
      </c>
      <c r="D339" s="158" t="s">
        <v>320</v>
      </c>
      <c r="E339" s="423">
        <v>46</v>
      </c>
      <c r="F339" s="419" t="s">
        <v>329</v>
      </c>
      <c r="G339" s="419"/>
      <c r="H339" s="419"/>
      <c r="I339" s="419"/>
      <c r="J339" s="419"/>
      <c r="K339" s="154" t="str">
        <f>IF(ISBLANK(E339),"ručně doplnit",IF(E339="-","není ve výkazech",IF(C339="Rozvaha",VLOOKUP(E339,'radky_R'!$A:$B,2,0),IF(C339="Výsledovka",VLOOKUP(E339,'radky_V'!A:M,2,0)))))</f>
        <v>Ostatní finanční výnosy</v>
      </c>
      <c r="R339" s="154" t="str">
        <f>IF(ISBLANK(L339),"není alternativa",IF(L339="-","není ve výkazech",VLOOKUP(L339,'radky_R'!$A:$B,2,0)))</f>
        <v>není alternativa</v>
      </c>
      <c r="S339" s="157" t="s">
        <v>262</v>
      </c>
      <c r="T339" s="157" t="s">
        <v>877</v>
      </c>
    </row>
    <row r="340" spans="1:20" x14ac:dyDescent="0.3">
      <c r="A340" s="275">
        <v>667</v>
      </c>
      <c r="B340" s="157" t="s">
        <v>215</v>
      </c>
      <c r="C340" s="157" t="s">
        <v>512</v>
      </c>
      <c r="D340" s="158" t="s">
        <v>320</v>
      </c>
      <c r="E340" s="423">
        <v>46</v>
      </c>
      <c r="F340" s="419" t="s">
        <v>329</v>
      </c>
      <c r="G340" s="419"/>
      <c r="H340" s="419"/>
      <c r="I340" s="419"/>
      <c r="J340" s="419"/>
      <c r="K340" s="154" t="str">
        <f>IF(ISBLANK(E340),"ručně doplnit",IF(E340="-","není ve výkazech",IF(C340="Rozvaha",VLOOKUP(E340,'radky_R'!$A:$B,2,0),IF(C340="Výsledovka",VLOOKUP(E340,'radky_V'!A:M,2,0)))))</f>
        <v>Ostatní finanční výnosy</v>
      </c>
      <c r="R340" s="154" t="str">
        <f>IF(ISBLANK(L340),"není alternativa",IF(L340="-","není ve výkazech",VLOOKUP(L340,'radky_R'!$A:$B,2,0)))</f>
        <v>není alternativa</v>
      </c>
      <c r="S340" s="157" t="s">
        <v>262</v>
      </c>
      <c r="T340" s="157" t="s">
        <v>877</v>
      </c>
    </row>
    <row r="341" spans="1:20" x14ac:dyDescent="0.3">
      <c r="A341" s="275">
        <v>668</v>
      </c>
      <c r="B341" s="157" t="s">
        <v>216</v>
      </c>
      <c r="C341" s="157" t="s">
        <v>512</v>
      </c>
      <c r="D341" s="158" t="s">
        <v>320</v>
      </c>
      <c r="E341" s="423">
        <v>46</v>
      </c>
      <c r="F341" s="419" t="s">
        <v>329</v>
      </c>
      <c r="G341" s="419"/>
      <c r="H341" s="419"/>
      <c r="I341" s="419"/>
      <c r="J341" s="419"/>
      <c r="K341" s="154" t="str">
        <f>IF(ISBLANK(E341),"ručně doplnit",IF(E341="-","není ve výkazech",IF(C341="Rozvaha",VLOOKUP(E341,'radky_R'!$A:$B,2,0),IF(C341="Výsledovka",VLOOKUP(E341,'radky_V'!A:M,2,0)))))</f>
        <v>Ostatní finanční výnosy</v>
      </c>
      <c r="R341" s="154" t="str">
        <f>IF(ISBLANK(L341),"není alternativa",IF(L341="-","není ve výkazech",VLOOKUP(L341,'radky_R'!$A:$B,2,0)))</f>
        <v>není alternativa</v>
      </c>
      <c r="S341" s="157" t="s">
        <v>262</v>
      </c>
      <c r="T341" s="157" t="s">
        <v>877</v>
      </c>
    </row>
    <row r="342" spans="1:20" x14ac:dyDescent="0.3">
      <c r="A342" s="275">
        <v>669</v>
      </c>
      <c r="B342" s="157" t="s">
        <v>1064</v>
      </c>
      <c r="C342" s="157" t="s">
        <v>512</v>
      </c>
      <c r="D342" s="158" t="s">
        <v>320</v>
      </c>
      <c r="E342" s="423">
        <v>46</v>
      </c>
      <c r="F342" s="419" t="s">
        <v>329</v>
      </c>
      <c r="G342" s="419"/>
      <c r="H342" s="419"/>
      <c r="I342" s="419"/>
      <c r="J342" s="419"/>
      <c r="K342" s="154" t="str">
        <f>IF(ISBLANK(E342),"ručně doplnit",IF(E342="-","není ve výkazech",IF(C342="Rozvaha",VLOOKUP(E342,'radky_R'!$A:$B,2,0),IF(C342="Výsledovka",VLOOKUP(E342,'radky_V'!A:M,2,0)))))</f>
        <v>Ostatní finanční výnosy</v>
      </c>
      <c r="R342" s="154" t="str">
        <f>IF(ISBLANK(L342),"není alternativa",IF(L342="-","není ve výkazech",VLOOKUP(L342,'radky_R'!$A:$B,2,0)))</f>
        <v>není alternativa</v>
      </c>
      <c r="S342" s="157" t="s">
        <v>262</v>
      </c>
      <c r="T342" s="157" t="s">
        <v>877</v>
      </c>
    </row>
    <row r="343" spans="1:20" x14ac:dyDescent="0.3">
      <c r="A343" s="275">
        <v>688</v>
      </c>
      <c r="C343" s="157" t="s">
        <v>512</v>
      </c>
      <c r="D343" s="158" t="s">
        <v>320</v>
      </c>
      <c r="E343" s="275"/>
      <c r="K343" s="154" t="str">
        <f>IF(ISBLANK(E343),"ručně doplnit",IF(E343="-","není ve výkazech",IF(C343="Rozvaha",VLOOKUP(E343,'radky_R'!$A:$B,2,0),IF(C343="Výsledovka",VLOOKUP(E343,'radky_V'!A:M,2,0)))))</f>
        <v>ručně doplnit</v>
      </c>
      <c r="R343" s="154" t="str">
        <f>IF(ISBLANK(L343),"není alternativa",IF(L343="-","není ve výkazech",VLOOKUP(L343,'radky_R'!$A:$B,2,0)))</f>
        <v>není alternativa</v>
      </c>
      <c r="S343" s="157" t="s">
        <v>262</v>
      </c>
      <c r="T343" s="157" t="s">
        <v>879</v>
      </c>
    </row>
    <row r="344" spans="1:20" x14ac:dyDescent="0.3">
      <c r="A344" s="275">
        <v>697</v>
      </c>
      <c r="B344" s="157" t="s">
        <v>218</v>
      </c>
      <c r="C344" s="157" t="s">
        <v>512</v>
      </c>
      <c r="D344" s="158" t="s">
        <v>320</v>
      </c>
      <c r="E344" s="423">
        <v>23</v>
      </c>
      <c r="F344" s="419" t="s">
        <v>256</v>
      </c>
      <c r="G344" s="419" t="s">
        <v>244</v>
      </c>
      <c r="H344" s="419"/>
      <c r="I344" s="419"/>
      <c r="J344" s="419"/>
      <c r="K344" s="154" t="str">
        <f>IF(ISBLANK(E344),"ručně doplnit",IF(E344="-","není ve výkazech",IF(C344="Rozvaha",VLOOKUP(E344,'radky_R'!$A:$B,2,0),IF(C344="Výsledovka",VLOOKUP(E344,'radky_V'!A:M,2,0)))))</f>
        <v>Jiné provozní výnosy</v>
      </c>
      <c r="R344" s="154" t="str">
        <f>IF(ISBLANK(L344),"není alternativa",IF(L344="-","není ve výkazech",VLOOKUP(L344,'radky_R'!$A:$B,2,0)))</f>
        <v>není alternativa</v>
      </c>
      <c r="S344" s="157" t="s">
        <v>262</v>
      </c>
      <c r="T344" s="157" t="s">
        <v>877</v>
      </c>
    </row>
    <row r="345" spans="1:20" x14ac:dyDescent="0.3">
      <c r="A345" s="275">
        <v>698</v>
      </c>
      <c r="B345" s="157" t="s">
        <v>219</v>
      </c>
      <c r="C345" s="157" t="s">
        <v>512</v>
      </c>
      <c r="D345" s="158" t="s">
        <v>320</v>
      </c>
      <c r="E345" s="423">
        <v>46</v>
      </c>
      <c r="F345" s="419" t="s">
        <v>329</v>
      </c>
      <c r="G345" s="419"/>
      <c r="H345" s="419"/>
      <c r="I345" s="419"/>
      <c r="J345" s="419"/>
      <c r="K345" s="154" t="str">
        <f>IF(ISBLANK(E345),"ručně doplnit",IF(E345="-","není ve výkazech",IF(C345="Rozvaha",VLOOKUP(E345,'radky_R'!$A:$B,2,0),IF(C345="Výsledovka",VLOOKUP(E345,'radky_V'!A:M,2,0)))))</f>
        <v>Ostatní finanční výnosy</v>
      </c>
      <c r="R345" s="154" t="str">
        <f>IF(ISBLANK(L345),"není alternativa",IF(L345="-","není ve výkazech",VLOOKUP(L345,'radky_R'!$A:$B,2,0)))</f>
        <v>není alternativa</v>
      </c>
      <c r="S345" s="157" t="s">
        <v>262</v>
      </c>
      <c r="T345" s="157" t="s">
        <v>877</v>
      </c>
    </row>
    <row r="346" spans="1:20" x14ac:dyDescent="0.3">
      <c r="A346" s="275">
        <v>701</v>
      </c>
      <c r="B346" s="157" t="s">
        <v>220</v>
      </c>
      <c r="D346" s="158" t="s">
        <v>321</v>
      </c>
      <c r="E346" s="275"/>
      <c r="K346" s="154" t="str">
        <f>IF(ISBLANK(E346),"ručně doplnit",IF(E346="-","není ve výkazech",IF(C346="Rozvaha",VLOOKUP(E346,'radky_R'!$A:$B,2,0),IF(C346="Výsledovka",VLOOKUP(E346,'radky_V'!A:M,2,0)))))</f>
        <v>ručně doplnit</v>
      </c>
      <c r="R346" s="154" t="str">
        <f>IF(ISBLANK(L346),"není alternativa",IF(L346="-","není ve výkazech",VLOOKUP(L346,'radky_R'!$A:$B,2,0)))</f>
        <v>není alternativa</v>
      </c>
      <c r="S346" s="157" t="s">
        <v>262</v>
      </c>
      <c r="T346" s="157" t="s">
        <v>877</v>
      </c>
    </row>
    <row r="347" spans="1:20" x14ac:dyDescent="0.3">
      <c r="A347" s="275">
        <v>702</v>
      </c>
      <c r="B347" s="157" t="s">
        <v>221</v>
      </c>
      <c r="D347" s="158" t="s">
        <v>321</v>
      </c>
      <c r="E347" s="275"/>
      <c r="K347" s="154" t="str">
        <f>IF(ISBLANK(E347),"ručně doplnit",IF(E347="-","není ve výkazech",IF(C347="Rozvaha",VLOOKUP(E347,'radky_R'!$A:$B,2,0),IF(C347="Výsledovka",VLOOKUP(E347,'radky_V'!A:M,2,0)))))</f>
        <v>ručně doplnit</v>
      </c>
      <c r="R347" s="154" t="str">
        <f>IF(ISBLANK(L347),"není alternativa",IF(L347="-","není ve výkazech",VLOOKUP(L347,'radky_R'!$A:$B,2,0)))</f>
        <v>není alternativa</v>
      </c>
      <c r="S347" s="157" t="s">
        <v>262</v>
      </c>
      <c r="T347" s="157" t="s">
        <v>877</v>
      </c>
    </row>
    <row r="348" spans="1:20" x14ac:dyDescent="0.3">
      <c r="A348" s="275">
        <v>710</v>
      </c>
      <c r="B348" s="157" t="s">
        <v>222</v>
      </c>
      <c r="D348" s="158" t="s">
        <v>321</v>
      </c>
      <c r="E348" s="275"/>
      <c r="K348" s="154" t="str">
        <f>IF(ISBLANK(E348),"ručně doplnit",IF(E348="-","není ve výkazech",IF(C348="Rozvaha",VLOOKUP(E348,'radky_R'!$A:$B,2,0),IF(C348="Výsledovka",VLOOKUP(E348,'radky_V'!A:M,2,0)))))</f>
        <v>ručně doplnit</v>
      </c>
      <c r="R348" s="154" t="str">
        <f>IF(ISBLANK(L348),"není alternativa",IF(L348="-","není ve výkazech",VLOOKUP(L348,'radky_R'!$A:$B,2,0)))</f>
        <v>není alternativa</v>
      </c>
      <c r="S348" s="157" t="s">
        <v>262</v>
      </c>
      <c r="T348" s="157" t="s">
        <v>877</v>
      </c>
    </row>
  </sheetData>
  <phoneticPr fontId="0" type="noConversion"/>
  <conditionalFormatting sqref="E1:E40">
    <cfRule type="expression" dxfId="99" priority="294">
      <formula>C2="V"</formula>
    </cfRule>
    <cfRule type="expression" dxfId="98" priority="293">
      <formula>C2="R"</formula>
    </cfRule>
  </conditionalFormatting>
  <conditionalFormatting sqref="E41:E46">
    <cfRule type="expression" dxfId="97" priority="292">
      <formula>C47="V"</formula>
    </cfRule>
    <cfRule type="expression" dxfId="96" priority="291">
      <formula>C47="R"</formula>
    </cfRule>
  </conditionalFormatting>
  <conditionalFormatting sqref="E47:E89">
    <cfRule type="expression" dxfId="95" priority="17">
      <formula>C48="R"</formula>
    </cfRule>
    <cfRule type="expression" dxfId="94" priority="18">
      <formula>C48="V"</formula>
    </cfRule>
  </conditionalFormatting>
  <conditionalFormatting sqref="E90">
    <cfRule type="expression" dxfId="93" priority="240">
      <formula>C92="V"</formula>
    </cfRule>
    <cfRule type="expression" dxfId="92" priority="239">
      <formula>C92="R"</formula>
    </cfRule>
  </conditionalFormatting>
  <conditionalFormatting sqref="E91">
    <cfRule type="expression" dxfId="91" priority="223">
      <formula>B93="R"</formula>
    </cfRule>
    <cfRule type="expression" dxfId="90" priority="224">
      <formula>B93="V"</formula>
    </cfRule>
  </conditionalFormatting>
  <conditionalFormatting sqref="E92">
    <cfRule type="expression" dxfId="89" priority="237">
      <formula>C94="R"</formula>
    </cfRule>
    <cfRule type="expression" dxfId="88" priority="238">
      <formula>C94="V"</formula>
    </cfRule>
  </conditionalFormatting>
  <conditionalFormatting sqref="E94">
    <cfRule type="expression" dxfId="87" priority="232">
      <formula>C96="V"</formula>
    </cfRule>
    <cfRule type="expression" dxfId="86" priority="231">
      <formula>C96="R"</formula>
    </cfRule>
  </conditionalFormatting>
  <conditionalFormatting sqref="E95">
    <cfRule type="expression" dxfId="85" priority="225">
      <formula>B97="R"</formula>
    </cfRule>
    <cfRule type="expression" dxfId="84" priority="226">
      <formula>B97="V"</formula>
    </cfRule>
  </conditionalFormatting>
  <conditionalFormatting sqref="E96 E101 E122:E125 E145:E146 E148 E158:E160 E203:E204 E276:E279 E281:E282 E329:E330">
    <cfRule type="expression" dxfId="83" priority="301">
      <formula>C98="R"</formula>
    </cfRule>
    <cfRule type="expression" dxfId="82" priority="302">
      <formula>C98="V"</formula>
    </cfRule>
  </conditionalFormatting>
  <conditionalFormatting sqref="E98 E163:E202 E205:E210 E225:E226 E343:E1048576">
    <cfRule type="expression" dxfId="81" priority="351">
      <formula>C99="R"</formula>
    </cfRule>
    <cfRule type="expression" dxfId="80" priority="352">
      <formula>C99="V"</formula>
    </cfRule>
  </conditionalFormatting>
  <conditionalFormatting sqref="E99">
    <cfRule type="expression" dxfId="79" priority="227">
      <formula>C101="R"</formula>
    </cfRule>
    <cfRule type="expression" dxfId="78" priority="228">
      <formula>C101="V"</formula>
    </cfRule>
  </conditionalFormatting>
  <conditionalFormatting sqref="E103">
    <cfRule type="expression" dxfId="77" priority="219">
      <formula>C105="R"</formula>
    </cfRule>
    <cfRule type="expression" dxfId="76" priority="220">
      <formula>C105="V"</formula>
    </cfRule>
  </conditionalFormatting>
  <conditionalFormatting sqref="E105:E110">
    <cfRule type="expression" dxfId="75" priority="215">
      <formula>C106="R"</formula>
    </cfRule>
    <cfRule type="expression" dxfId="74" priority="216">
      <formula>C106="V"</formula>
    </cfRule>
  </conditionalFormatting>
  <conditionalFormatting sqref="E111:E112">
    <cfRule type="expression" dxfId="73" priority="213">
      <formula>C113="R"</formula>
    </cfRule>
    <cfRule type="expression" dxfId="72" priority="214">
      <formula>C113="V"</formula>
    </cfRule>
  </conditionalFormatting>
  <conditionalFormatting sqref="E113:E117">
    <cfRule type="expression" dxfId="71" priority="208">
      <formula>C114="V"</formula>
    </cfRule>
    <cfRule type="expression" dxfId="70" priority="207">
      <formula>C114="R"</formula>
    </cfRule>
  </conditionalFormatting>
  <conditionalFormatting sqref="E126:E144">
    <cfRule type="expression" dxfId="69" priority="8">
      <formula>C127="V"</formula>
    </cfRule>
    <cfRule type="expression" dxfId="68" priority="7">
      <formula>C127="R"</formula>
    </cfRule>
  </conditionalFormatting>
  <conditionalFormatting sqref="E147">
    <cfRule type="expression" dxfId="67" priority="1">
      <formula>C148="R"</formula>
    </cfRule>
    <cfRule type="expression" dxfId="66" priority="2">
      <formula>C148="V"</formula>
    </cfRule>
  </conditionalFormatting>
  <conditionalFormatting sqref="E149:E150">
    <cfRule type="expression" dxfId="65" priority="362">
      <formula>#REF!="V"</formula>
    </cfRule>
    <cfRule type="expression" dxfId="64" priority="361">
      <formula>#REF!="R"</formula>
    </cfRule>
  </conditionalFormatting>
  <conditionalFormatting sqref="E151:E156">
    <cfRule type="expression" dxfId="63" priority="191">
      <formula>C153="R"</formula>
    </cfRule>
    <cfRule type="expression" dxfId="62" priority="192">
      <formula>C153="V"</formula>
    </cfRule>
  </conditionalFormatting>
  <conditionalFormatting sqref="E157">
    <cfRule type="expression" dxfId="61" priority="4">
      <formula>C158="V"</formula>
    </cfRule>
    <cfRule type="expression" dxfId="60" priority="3">
      <formula>C158="R"</formula>
    </cfRule>
  </conditionalFormatting>
  <conditionalFormatting sqref="E161">
    <cfRule type="expression" dxfId="59" priority="6">
      <formula>C162="V"</formula>
    </cfRule>
    <cfRule type="expression" dxfId="58" priority="5">
      <formula>C162="R"</formula>
    </cfRule>
  </conditionalFormatting>
  <conditionalFormatting sqref="E162">
    <cfRule type="expression" dxfId="57" priority="24">
      <formula>C164="V"</formula>
    </cfRule>
    <cfRule type="expression" dxfId="56" priority="23">
      <formula>C164="R"</formula>
    </cfRule>
  </conditionalFormatting>
  <conditionalFormatting sqref="E211 E224">
    <cfRule type="expression" dxfId="55" priority="368">
      <formula>#REF!="V"</formula>
    </cfRule>
    <cfRule type="expression" dxfId="54" priority="367">
      <formula>#REF!="R"</formula>
    </cfRule>
  </conditionalFormatting>
  <conditionalFormatting sqref="E212:E221">
    <cfRule type="expression" dxfId="53" priority="16">
      <formula>C213="V"</formula>
    </cfRule>
    <cfRule type="expression" dxfId="52" priority="15">
      <formula>C213="R"</formula>
    </cfRule>
  </conditionalFormatting>
  <conditionalFormatting sqref="E222">
    <cfRule type="expression" dxfId="51" priority="22">
      <formula>C224="V"</formula>
    </cfRule>
    <cfRule type="expression" dxfId="50" priority="21">
      <formula>C224="R"</formula>
    </cfRule>
  </conditionalFormatting>
  <conditionalFormatting sqref="E223">
    <cfRule type="expression" dxfId="49" priority="45">
      <formula>C224="R"</formula>
    </cfRule>
    <cfRule type="expression" dxfId="48" priority="46">
      <formula>C224="V"</formula>
    </cfRule>
  </conditionalFormatting>
  <conditionalFormatting sqref="E227">
    <cfRule type="expression" dxfId="47" priority="20">
      <formula>C229="V"</formula>
    </cfRule>
    <cfRule type="expression" dxfId="46" priority="19">
      <formula>C229="R"</formula>
    </cfRule>
  </conditionalFormatting>
  <conditionalFormatting sqref="E228:E238">
    <cfRule type="expression" dxfId="45" priority="111">
      <formula>C229="R"</formula>
    </cfRule>
    <cfRule type="expression" dxfId="44" priority="112">
      <formula>C229="V"</formula>
    </cfRule>
  </conditionalFormatting>
  <conditionalFormatting sqref="E239:E244">
    <cfRule type="expression" dxfId="43" priority="165">
      <formula>C240="R"</formula>
    </cfRule>
    <cfRule type="expression" dxfId="42" priority="166">
      <formula>C240="V"</formula>
    </cfRule>
  </conditionalFormatting>
  <conditionalFormatting sqref="E243">
    <cfRule type="expression" dxfId="41" priority="341">
      <formula>C244="R"</formula>
    </cfRule>
    <cfRule type="expression" dxfId="40" priority="342">
      <formula>C244="V"</formula>
    </cfRule>
  </conditionalFormatting>
  <conditionalFormatting sqref="E244:E245">
    <cfRule type="expression" dxfId="39" priority="161">
      <formula>C245="R"</formula>
    </cfRule>
    <cfRule type="expression" dxfId="38" priority="162">
      <formula>C245="V"</formula>
    </cfRule>
  </conditionalFormatting>
  <conditionalFormatting sqref="E245:E246">
    <cfRule type="expression" dxfId="37" priority="157">
      <formula>C246="R"</formula>
    </cfRule>
    <cfRule type="expression" dxfId="36" priority="158">
      <formula>C246="V"</formula>
    </cfRule>
  </conditionalFormatting>
  <conditionalFormatting sqref="E246:E247">
    <cfRule type="expression" dxfId="35" priority="154">
      <formula>C247="V"</formula>
    </cfRule>
    <cfRule type="expression" dxfId="34" priority="153">
      <formula>C247="R"</formula>
    </cfRule>
  </conditionalFormatting>
  <conditionalFormatting sqref="E247:E248">
    <cfRule type="expression" dxfId="33" priority="149">
      <formula>C248="R"</formula>
    </cfRule>
    <cfRule type="expression" dxfId="32" priority="150">
      <formula>C248="V"</formula>
    </cfRule>
  </conditionalFormatting>
  <conditionalFormatting sqref="E248:E249">
    <cfRule type="expression" dxfId="31" priority="146">
      <formula>C249="V"</formula>
    </cfRule>
    <cfRule type="expression" dxfId="30" priority="145">
      <formula>C249="R"</formula>
    </cfRule>
  </conditionalFormatting>
  <conditionalFormatting sqref="E249:E250">
    <cfRule type="expression" dxfId="29" priority="141">
      <formula>C250="R"</formula>
    </cfRule>
    <cfRule type="expression" dxfId="28" priority="142">
      <formula>C250="V"</formula>
    </cfRule>
  </conditionalFormatting>
  <conditionalFormatting sqref="E250:E259">
    <cfRule type="expression" dxfId="27" priority="113">
      <formula>C251="R"</formula>
    </cfRule>
    <cfRule type="expression" dxfId="26" priority="114">
      <formula>C251="V"</formula>
    </cfRule>
  </conditionalFormatting>
  <conditionalFormatting sqref="E260:E263">
    <cfRule type="expression" dxfId="25" priority="118">
      <formula>C262="V"</formula>
    </cfRule>
    <cfRule type="expression" dxfId="24" priority="117">
      <formula>C262="R"</formula>
    </cfRule>
  </conditionalFormatting>
  <conditionalFormatting sqref="E264:E269">
    <cfRule type="expression" dxfId="23" priority="106">
      <formula>C265="V"</formula>
    </cfRule>
    <cfRule type="expression" dxfId="22" priority="105">
      <formula>C265="R"</formula>
    </cfRule>
  </conditionalFormatting>
  <conditionalFormatting sqref="E270:E272">
    <cfRule type="expression" dxfId="21" priority="359">
      <formula>#REF!="R"</formula>
    </cfRule>
    <cfRule type="expression" dxfId="20" priority="360">
      <formula>#REF!="V"</formula>
    </cfRule>
  </conditionalFormatting>
  <conditionalFormatting sqref="E273:E275">
    <cfRule type="expression" dxfId="19" priority="363">
      <formula>C276="R"</formula>
    </cfRule>
    <cfRule type="expression" dxfId="18" priority="364">
      <formula>C276="V"</formula>
    </cfRule>
  </conditionalFormatting>
  <conditionalFormatting sqref="E280">
    <cfRule type="expression" dxfId="17" priority="103">
      <formula>C283="R"</formula>
    </cfRule>
    <cfRule type="expression" dxfId="16" priority="104">
      <formula>C283="V"</formula>
    </cfRule>
  </conditionalFormatting>
  <conditionalFormatting sqref="E283:E321">
    <cfRule type="expression" dxfId="15" priority="56">
      <formula>C284="V"</formula>
    </cfRule>
    <cfRule type="expression" dxfId="14" priority="55">
      <formula>C284="R"</formula>
    </cfRule>
  </conditionalFormatting>
  <conditionalFormatting sqref="E322">
    <cfRule type="expression" dxfId="13" priority="82">
      <formula>C324="V"</formula>
    </cfRule>
    <cfRule type="expression" dxfId="12" priority="81">
      <formula>C324="R"</formula>
    </cfRule>
  </conditionalFormatting>
  <conditionalFormatting sqref="E323">
    <cfRule type="expression" dxfId="11" priority="79">
      <formula>C329="R"</formula>
    </cfRule>
    <cfRule type="expression" dxfId="10" priority="80">
      <formula>C329="V"</formula>
    </cfRule>
  </conditionalFormatting>
  <conditionalFormatting sqref="E324:E328">
    <cfRule type="expression" dxfId="9" priority="365">
      <formula>C329="R"</formula>
    </cfRule>
    <cfRule type="expression" dxfId="8" priority="366">
      <formula>C329="V"</formula>
    </cfRule>
  </conditionalFormatting>
  <conditionalFormatting sqref="E331:E342">
    <cfRule type="expression" dxfId="7" priority="70">
      <formula>C332="V"</formula>
    </cfRule>
    <cfRule type="expression" dxfId="6" priority="69">
      <formula>C332="R"</formula>
    </cfRule>
  </conditionalFormatting>
  <conditionalFormatting sqref="L90:L91">
    <cfRule type="expression" dxfId="5" priority="234">
      <formula>I92="V"</formula>
    </cfRule>
    <cfRule type="expression" dxfId="4" priority="233">
      <formula>I92="R"</formula>
    </cfRule>
  </conditionalFormatting>
  <conditionalFormatting sqref="L94:L95">
    <cfRule type="expression" dxfId="3" priority="230">
      <formula>I96="V"</formula>
    </cfRule>
    <cfRule type="expression" dxfId="2" priority="229">
      <formula>I96="R"</formula>
    </cfRule>
  </conditionalFormatting>
  <conditionalFormatting sqref="L203:L204">
    <cfRule type="expression" dxfId="1" priority="299">
      <formula>H205="R"</formula>
    </cfRule>
    <cfRule type="expression" dxfId="0" priority="300">
      <formula>H205="V"</formula>
    </cfRule>
  </conditionalFormatting>
  <pageMargins left="0.78740157499999996" right="0.78740157499999996" top="0.984251969" bottom="0.984251969" header="0.4921259845" footer="0.4921259845"/>
  <pageSetup paperSize="9" orientation="portrait" r:id="rId1"/>
  <headerFooter alignWithMargins="0"/>
  <tableParts count="1">
    <tablePart r:id="rId2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List10">
    <outlinePr summaryBelow="0" summaryRight="0"/>
  </sheetPr>
  <dimension ref="A1:R57"/>
  <sheetViews>
    <sheetView showGridLines="0" workbookViewId="0">
      <pane ySplit="1" topLeftCell="A26" activePane="bottomLeft" state="frozen"/>
      <selection activeCell="B293" sqref="B293"/>
      <selection pane="bottomLeft" activeCell="B293" sqref="B293"/>
    </sheetView>
  </sheetViews>
  <sheetFormatPr defaultColWidth="9.109375" defaultRowHeight="10.199999999999999" outlineLevelCol="1" x14ac:dyDescent="0.3"/>
  <cols>
    <col min="1" max="1" width="5.33203125" style="156" customWidth="1"/>
    <col min="2" max="2" width="45.109375" style="157" customWidth="1"/>
    <col min="3" max="4" width="45.109375" style="157" customWidth="1" outlineLevel="1"/>
    <col min="5" max="5" width="8.5546875" style="158" customWidth="1"/>
    <col min="6" max="6" width="10.6640625" style="158" customWidth="1"/>
    <col min="7" max="7" width="6.5546875" style="158" customWidth="1"/>
    <col min="8" max="10" width="4.6640625" style="158" customWidth="1"/>
    <col min="11" max="11" width="23.6640625" style="157" customWidth="1"/>
    <col min="12" max="12" width="31.5546875" style="157" customWidth="1"/>
    <col min="13" max="13" width="62.109375" style="153" customWidth="1"/>
    <col min="14" max="14" width="9.109375" style="154"/>
    <col min="15" max="18" width="9.109375" style="155"/>
    <col min="19" max="16384" width="9.109375" style="154"/>
  </cols>
  <sheetData>
    <row r="1" spans="1:13" x14ac:dyDescent="0.3">
      <c r="A1" s="150" t="s">
        <v>258</v>
      </c>
      <c r="B1" s="151" t="s">
        <v>288</v>
      </c>
      <c r="C1" s="151" t="s">
        <v>289</v>
      </c>
      <c r="D1" s="151" t="s">
        <v>290</v>
      </c>
      <c r="E1" s="152" t="s">
        <v>233</v>
      </c>
      <c r="F1" s="152" t="s">
        <v>514</v>
      </c>
      <c r="G1" s="152" t="s">
        <v>264</v>
      </c>
      <c r="H1" s="152" t="s">
        <v>234</v>
      </c>
      <c r="I1" s="152" t="s">
        <v>235</v>
      </c>
      <c r="J1" s="152" t="s">
        <v>236</v>
      </c>
      <c r="K1" s="153" t="s">
        <v>347</v>
      </c>
      <c r="L1" s="153" t="s">
        <v>348</v>
      </c>
      <c r="M1" s="153" t="s">
        <v>518</v>
      </c>
    </row>
    <row r="2" spans="1:13" x14ac:dyDescent="0.3">
      <c r="A2" s="269">
        <v>1</v>
      </c>
      <c r="B2" s="157" t="s">
        <v>970</v>
      </c>
      <c r="C2" s="157" t="s">
        <v>971</v>
      </c>
      <c r="D2" s="157" t="s">
        <v>493</v>
      </c>
      <c r="E2" s="158" t="s">
        <v>512</v>
      </c>
      <c r="F2" s="158" t="s">
        <v>515</v>
      </c>
      <c r="G2" s="158" t="s">
        <v>335</v>
      </c>
      <c r="H2" s="158" t="s">
        <v>241</v>
      </c>
      <c r="K2" s="154" t="s">
        <v>584</v>
      </c>
      <c r="L2" s="154" t="str">
        <f t="shared" ref="L2" si="0">IF(ISBLANK(G2),"-",CONCATENATE(TEXT(A2,"000")," ",B2))</f>
        <v>001 Tržby za prodej výrobků a služeb</v>
      </c>
      <c r="M2" s="153" t="str">
        <f t="shared" ref="M2:M7" si="1">IF(jazyk="česky",B2,IF(jazyk="anglicky",C2,IF(jazyk="německy",D2,"-")))</f>
        <v>Tržby za prodej výrobků a služeb</v>
      </c>
    </row>
    <row r="3" spans="1:13" x14ac:dyDescent="0.3">
      <c r="A3" s="269">
        <v>2</v>
      </c>
      <c r="B3" s="157" t="s">
        <v>305</v>
      </c>
      <c r="C3" s="157" t="s">
        <v>1163</v>
      </c>
      <c r="D3" s="157" t="s">
        <v>1164</v>
      </c>
      <c r="E3" s="158" t="s">
        <v>512</v>
      </c>
      <c r="F3" s="158" t="s">
        <v>515</v>
      </c>
      <c r="G3" s="158" t="s">
        <v>335</v>
      </c>
      <c r="H3" s="158" t="s">
        <v>251</v>
      </c>
      <c r="K3" s="154" t="s">
        <v>584</v>
      </c>
      <c r="L3" s="154" t="str">
        <f>IF(ISBLANK(G3),"-",CONCATENATE(TEXT(A3,"000")," ",B3))</f>
        <v xml:space="preserve">002 Tržby za prodej zboží </v>
      </c>
      <c r="M3" s="153" t="str">
        <f t="shared" si="1"/>
        <v xml:space="preserve">Tržby za prodej zboží </v>
      </c>
    </row>
    <row r="4" spans="1:13" x14ac:dyDescent="0.3">
      <c r="A4" s="269">
        <v>3</v>
      </c>
      <c r="B4" s="157" t="s">
        <v>972</v>
      </c>
      <c r="C4" s="157" t="s">
        <v>1165</v>
      </c>
      <c r="D4" s="157" t="s">
        <v>1166</v>
      </c>
      <c r="E4" s="158" t="s">
        <v>512</v>
      </c>
      <c r="F4" s="158" t="s">
        <v>513</v>
      </c>
      <c r="K4" s="154" t="s">
        <v>584</v>
      </c>
      <c r="L4" s="154" t="str">
        <f>IF(ISBLANK(G4),"-",CONCATENATE(TEXT(A4,"000")," ",B4))</f>
        <v>-</v>
      </c>
      <c r="M4" s="153" t="str">
        <f>IF(jazyk="česky",B4,IF(jazyk="anglicky",C4,IF(jazyk="německy",D4,"-")))</f>
        <v>Výkonová spotřeba</v>
      </c>
    </row>
    <row r="5" spans="1:13" x14ac:dyDescent="0.3">
      <c r="A5" s="269">
        <v>4</v>
      </c>
      <c r="B5" s="157" t="s">
        <v>306</v>
      </c>
      <c r="C5" s="157" t="s">
        <v>479</v>
      </c>
      <c r="D5" s="157" t="s">
        <v>492</v>
      </c>
      <c r="E5" s="158" t="s">
        <v>512</v>
      </c>
      <c r="F5" s="158" t="s">
        <v>513</v>
      </c>
      <c r="G5" s="158" t="s">
        <v>335</v>
      </c>
      <c r="H5" s="158" t="s">
        <v>239</v>
      </c>
      <c r="I5" s="158" t="s">
        <v>242</v>
      </c>
      <c r="K5" s="154" t="s">
        <v>584</v>
      </c>
      <c r="L5" s="154" t="str">
        <f t="shared" ref="L5:L7" si="2">IF(ISBLANK(G5),"-",CONCATENATE(TEXT(A5,"000")," ",B5))</f>
        <v>004 Náklady vynaložené na prodané zboží</v>
      </c>
      <c r="M5" s="153" t="str">
        <f t="shared" si="1"/>
        <v>Náklady vynaložené na prodané zboží</v>
      </c>
    </row>
    <row r="6" spans="1:13" x14ac:dyDescent="0.3">
      <c r="A6" s="269">
        <v>5</v>
      </c>
      <c r="B6" s="157" t="s">
        <v>307</v>
      </c>
      <c r="C6" s="157" t="s">
        <v>480</v>
      </c>
      <c r="D6" s="157" t="s">
        <v>494</v>
      </c>
      <c r="E6" s="158" t="s">
        <v>512</v>
      </c>
      <c r="F6" s="158" t="s">
        <v>513</v>
      </c>
      <c r="G6" s="158" t="s">
        <v>335</v>
      </c>
      <c r="H6" s="158" t="s">
        <v>239</v>
      </c>
      <c r="I6" s="158" t="s">
        <v>243</v>
      </c>
      <c r="K6" s="154" t="s">
        <v>584</v>
      </c>
      <c r="L6" s="154" t="str">
        <f t="shared" si="2"/>
        <v>005 Spotřeba materiálu a energie</v>
      </c>
      <c r="M6" s="153" t="str">
        <f t="shared" si="1"/>
        <v>Spotřeba materiálu a energie</v>
      </c>
    </row>
    <row r="7" spans="1:13" x14ac:dyDescent="0.3">
      <c r="A7" s="269">
        <v>6</v>
      </c>
      <c r="B7" s="157" t="s">
        <v>150</v>
      </c>
      <c r="C7" s="157" t="s">
        <v>481</v>
      </c>
      <c r="D7" s="157" t="s">
        <v>495</v>
      </c>
      <c r="E7" s="158" t="s">
        <v>512</v>
      </c>
      <c r="F7" s="158" t="s">
        <v>513</v>
      </c>
      <c r="G7" s="158" t="s">
        <v>335</v>
      </c>
      <c r="H7" s="158" t="s">
        <v>239</v>
      </c>
      <c r="I7" s="391" t="s">
        <v>244</v>
      </c>
      <c r="K7" s="154" t="s">
        <v>584</v>
      </c>
      <c r="L7" s="154" t="str">
        <f t="shared" si="2"/>
        <v>006 Služby</v>
      </c>
      <c r="M7" s="153" t="str">
        <f t="shared" si="1"/>
        <v>Služby</v>
      </c>
    </row>
    <row r="8" spans="1:13" x14ac:dyDescent="0.3">
      <c r="A8" s="269">
        <v>7</v>
      </c>
      <c r="B8" s="157" t="s">
        <v>1253</v>
      </c>
      <c r="C8" s="157" t="s">
        <v>1257</v>
      </c>
      <c r="D8" s="157" t="s">
        <v>1258</v>
      </c>
      <c r="E8" s="158" t="s">
        <v>512</v>
      </c>
      <c r="F8" s="158" t="s">
        <v>513</v>
      </c>
      <c r="G8" s="158" t="s">
        <v>335</v>
      </c>
      <c r="H8" s="158" t="s">
        <v>240</v>
      </c>
      <c r="K8" s="154" t="s">
        <v>584</v>
      </c>
      <c r="L8" s="154" t="str">
        <f>IF(ISBLANK(G8),"-",CONCATENATE(TEXT(A8,"000")," ",B8))</f>
        <v>007 Změna stavu zásob vlastní činnosti (+/-)</v>
      </c>
      <c r="M8" s="153" t="str">
        <f t="shared" ref="M8:M39" si="3">IF(jazyk="česky",B8,IF(jazyk="anglicky",C8,IF(jazyk="německy",D8,"-")))</f>
        <v>Změna stavu zásob vlastní činnosti (+/-)</v>
      </c>
    </row>
    <row r="9" spans="1:13" x14ac:dyDescent="0.3">
      <c r="A9" s="269">
        <v>8</v>
      </c>
      <c r="B9" s="157" t="s">
        <v>1254</v>
      </c>
      <c r="C9" s="157" t="s">
        <v>1256</v>
      </c>
      <c r="D9" s="157" t="s">
        <v>1255</v>
      </c>
      <c r="E9" s="158" t="s">
        <v>512</v>
      </c>
      <c r="F9" s="158" t="s">
        <v>513</v>
      </c>
      <c r="G9" s="158" t="s">
        <v>335</v>
      </c>
      <c r="H9" s="158" t="s">
        <v>265</v>
      </c>
      <c r="K9" s="154" t="s">
        <v>584</v>
      </c>
      <c r="L9" s="154" t="str">
        <f t="shared" ref="L9:L15" si="4">IF(ISBLANK(G9),"-",CONCATENATE(TEXT(A9,"000")," ",B9))</f>
        <v>008 Aktivace (-)</v>
      </c>
      <c r="M9" s="153" t="str">
        <f t="shared" si="3"/>
        <v>Aktivace (-)</v>
      </c>
    </row>
    <row r="10" spans="1:13" x14ac:dyDescent="0.3">
      <c r="A10" s="269">
        <v>9</v>
      </c>
      <c r="B10" s="157" t="s">
        <v>1005</v>
      </c>
      <c r="C10" s="157" t="s">
        <v>1167</v>
      </c>
      <c r="D10" s="157" t="s">
        <v>1168</v>
      </c>
      <c r="E10" s="158" t="s">
        <v>512</v>
      </c>
      <c r="F10" s="158" t="s">
        <v>513</v>
      </c>
      <c r="G10" s="158" t="s">
        <v>335</v>
      </c>
      <c r="K10" s="154" t="s">
        <v>584</v>
      </c>
      <c r="L10" s="154" t="str">
        <f t="shared" si="4"/>
        <v>009 Osobní náklady</v>
      </c>
      <c r="M10" s="153" t="str">
        <f t="shared" si="3"/>
        <v>Osobní náklady</v>
      </c>
    </row>
    <row r="11" spans="1:13" x14ac:dyDescent="0.3">
      <c r="A11" s="269">
        <v>10</v>
      </c>
      <c r="B11" s="157" t="s">
        <v>155</v>
      </c>
      <c r="C11" s="157" t="s">
        <v>482</v>
      </c>
      <c r="D11" s="157" t="s">
        <v>496</v>
      </c>
      <c r="E11" s="158" t="s">
        <v>512</v>
      </c>
      <c r="F11" s="158" t="s">
        <v>513</v>
      </c>
      <c r="G11" s="158" t="s">
        <v>335</v>
      </c>
      <c r="H11" s="158" t="s">
        <v>274</v>
      </c>
      <c r="I11" s="158" t="s">
        <v>242</v>
      </c>
      <c r="K11" s="154" t="s">
        <v>584</v>
      </c>
      <c r="L11" s="154" t="str">
        <f t="shared" si="4"/>
        <v>010 Mzdové náklady</v>
      </c>
      <c r="M11" s="153" t="str">
        <f t="shared" si="3"/>
        <v>Mzdové náklady</v>
      </c>
    </row>
    <row r="12" spans="1:13" x14ac:dyDescent="0.3">
      <c r="A12" s="390">
        <v>11</v>
      </c>
      <c r="B12" s="157" t="s">
        <v>973</v>
      </c>
      <c r="C12" s="157" t="s">
        <v>975</v>
      </c>
      <c r="D12" s="157" t="s">
        <v>1169</v>
      </c>
      <c r="E12" s="158" t="s">
        <v>512</v>
      </c>
      <c r="F12" s="158" t="s">
        <v>513</v>
      </c>
      <c r="I12" s="391"/>
      <c r="J12" s="391"/>
      <c r="K12" s="154" t="s">
        <v>584</v>
      </c>
      <c r="L12" s="154" t="str">
        <f t="shared" si="4"/>
        <v>-</v>
      </c>
      <c r="M12" s="153" t="str">
        <f t="shared" si="3"/>
        <v>Náklady na sociální zabezpečení, zdravotní pojištění a ostatní náklady</v>
      </c>
    </row>
    <row r="13" spans="1:13" x14ac:dyDescent="0.3">
      <c r="A13" s="269">
        <v>12</v>
      </c>
      <c r="B13" s="157" t="s">
        <v>308</v>
      </c>
      <c r="C13" s="157" t="s">
        <v>483</v>
      </c>
      <c r="D13" s="157" t="s">
        <v>497</v>
      </c>
      <c r="E13" s="158" t="s">
        <v>512</v>
      </c>
      <c r="F13" s="158" t="s">
        <v>513</v>
      </c>
      <c r="G13" s="158" t="s">
        <v>335</v>
      </c>
      <c r="H13" s="158" t="s">
        <v>274</v>
      </c>
      <c r="I13" s="158" t="s">
        <v>243</v>
      </c>
      <c r="J13" s="158" t="s">
        <v>242</v>
      </c>
      <c r="K13" s="154" t="s">
        <v>584</v>
      </c>
      <c r="L13" s="154" t="str">
        <f t="shared" si="4"/>
        <v>012 Náklady na sociální zabezpečení a zdravotní pojištění</v>
      </c>
      <c r="M13" s="153" t="str">
        <f t="shared" si="3"/>
        <v>Náklady na sociální zabezpečení a zdravotní pojištění</v>
      </c>
    </row>
    <row r="14" spans="1:13" x14ac:dyDescent="0.3">
      <c r="A14" s="390">
        <v>13</v>
      </c>
      <c r="B14" s="157" t="s">
        <v>974</v>
      </c>
      <c r="C14" s="157" t="s">
        <v>976</v>
      </c>
      <c r="D14" s="157" t="s">
        <v>1170</v>
      </c>
      <c r="E14" s="158" t="s">
        <v>512</v>
      </c>
      <c r="F14" s="158" t="s">
        <v>513</v>
      </c>
      <c r="G14" s="158" t="s">
        <v>335</v>
      </c>
      <c r="H14" s="158" t="s">
        <v>274</v>
      </c>
      <c r="I14" s="158" t="s">
        <v>243</v>
      </c>
      <c r="J14" s="391" t="s">
        <v>243</v>
      </c>
      <c r="K14" s="154" t="s">
        <v>584</v>
      </c>
      <c r="L14" s="154" t="str">
        <f t="shared" si="4"/>
        <v>013 Ostatní náklady</v>
      </c>
      <c r="M14" s="153" t="str">
        <f t="shared" si="3"/>
        <v>Ostatní náklady</v>
      </c>
    </row>
    <row r="15" spans="1:13" x14ac:dyDescent="0.3">
      <c r="A15" s="269">
        <v>14</v>
      </c>
      <c r="B15" s="157" t="s">
        <v>977</v>
      </c>
      <c r="C15" s="157" t="s">
        <v>1171</v>
      </c>
      <c r="D15" s="157" t="s">
        <v>1172</v>
      </c>
      <c r="E15" s="158" t="s">
        <v>512</v>
      </c>
      <c r="F15" s="158" t="s">
        <v>513</v>
      </c>
      <c r="K15" s="154" t="s">
        <v>584</v>
      </c>
      <c r="L15" s="154" t="str">
        <f t="shared" si="4"/>
        <v>-</v>
      </c>
      <c r="M15" s="153" t="str">
        <f t="shared" si="3"/>
        <v>Úpravy hodnot v provozní oblasti</v>
      </c>
    </row>
    <row r="16" spans="1:13" x14ac:dyDescent="0.3">
      <c r="A16" s="390">
        <v>15</v>
      </c>
      <c r="B16" s="157" t="s">
        <v>1239</v>
      </c>
      <c r="C16" s="157" t="s">
        <v>1173</v>
      </c>
      <c r="D16" s="157" t="s">
        <v>1174</v>
      </c>
      <c r="E16" s="158" t="s">
        <v>512</v>
      </c>
      <c r="F16" s="158" t="s">
        <v>513</v>
      </c>
      <c r="K16" s="154"/>
      <c r="L16" s="154" t="str">
        <f>IF(ISBLANK(G16),"-",CONCATENATE(TEXT(A16,"000")," ",B16))</f>
        <v>-</v>
      </c>
      <c r="M16" s="153" t="str">
        <f t="shared" si="3"/>
        <v>Úpravy hodnot dlouh. nehmotného a hmotného majetku</v>
      </c>
    </row>
    <row r="17" spans="1:13" x14ac:dyDescent="0.3">
      <c r="A17" s="269">
        <v>16</v>
      </c>
      <c r="B17" s="157" t="s">
        <v>1240</v>
      </c>
      <c r="C17" s="157" t="s">
        <v>1175</v>
      </c>
      <c r="D17" s="157" t="s">
        <v>1176</v>
      </c>
      <c r="E17" s="158" t="s">
        <v>512</v>
      </c>
      <c r="F17" s="158" t="s">
        <v>513</v>
      </c>
      <c r="G17" s="158" t="s">
        <v>335</v>
      </c>
      <c r="H17" s="158" t="s">
        <v>311</v>
      </c>
      <c r="I17" s="158" t="s">
        <v>242</v>
      </c>
      <c r="J17" s="158" t="s">
        <v>242</v>
      </c>
      <c r="K17" s="154" t="s">
        <v>584</v>
      </c>
      <c r="L17" s="154" t="str">
        <f t="shared" ref="L17:L57" si="5">IF(ISBLANK(G17),"-",CONCATENATE(TEXT(A17,"000")," ",B17))</f>
        <v>016 Úpravy hodnot dlouh. nehmotného a hmotného majetku - trvalé</v>
      </c>
      <c r="M17" s="153" t="str">
        <f t="shared" si="3"/>
        <v>Úpravy hodnot dlouh. nehmotného a hmotného majetku - trvalé</v>
      </c>
    </row>
    <row r="18" spans="1:13" x14ac:dyDescent="0.3">
      <c r="A18" s="390">
        <v>17</v>
      </c>
      <c r="B18" s="157" t="s">
        <v>1241</v>
      </c>
      <c r="C18" s="157" t="s">
        <v>1177</v>
      </c>
      <c r="D18" s="157" t="s">
        <v>1178</v>
      </c>
      <c r="E18" s="158" t="s">
        <v>512</v>
      </c>
      <c r="F18" s="158" t="s">
        <v>513</v>
      </c>
      <c r="G18" s="158" t="s">
        <v>335</v>
      </c>
      <c r="H18" s="158" t="s">
        <v>311</v>
      </c>
      <c r="I18" s="158" t="s">
        <v>242</v>
      </c>
      <c r="J18" s="391" t="s">
        <v>243</v>
      </c>
      <c r="K18" s="154" t="s">
        <v>584</v>
      </c>
      <c r="L18" s="154" t="str">
        <f t="shared" si="5"/>
        <v>017 Úpravy hodnot dlouh. nehmotného a hmotného majetku - dočasné</v>
      </c>
      <c r="M18" s="153" t="str">
        <f t="shared" si="3"/>
        <v>Úpravy hodnot dlouh. nehmotného a hmotného majetku - dočasné</v>
      </c>
    </row>
    <row r="19" spans="1:13" x14ac:dyDescent="0.3">
      <c r="A19" s="390">
        <v>18</v>
      </c>
      <c r="B19" s="157" t="s">
        <v>978</v>
      </c>
      <c r="C19" s="157" t="s">
        <v>1179</v>
      </c>
      <c r="D19" s="157" t="s">
        <v>1180</v>
      </c>
      <c r="E19" s="158" t="s">
        <v>512</v>
      </c>
      <c r="F19" s="158" t="s">
        <v>513</v>
      </c>
      <c r="G19" s="158" t="s">
        <v>335</v>
      </c>
      <c r="H19" s="158" t="s">
        <v>311</v>
      </c>
      <c r="I19" s="158" t="s">
        <v>243</v>
      </c>
      <c r="K19" s="154" t="s">
        <v>584</v>
      </c>
      <c r="L19" s="154" t="str">
        <f t="shared" si="5"/>
        <v>018 Úpravy hodnot zásob</v>
      </c>
      <c r="M19" s="153" t="str">
        <f t="shared" si="3"/>
        <v>Úpravy hodnot zásob</v>
      </c>
    </row>
    <row r="20" spans="1:13" x14ac:dyDescent="0.3">
      <c r="A20" s="269">
        <v>19</v>
      </c>
      <c r="B20" s="157" t="s">
        <v>979</v>
      </c>
      <c r="C20" s="157" t="s">
        <v>1181</v>
      </c>
      <c r="D20" s="157" t="s">
        <v>1182</v>
      </c>
      <c r="E20" s="158" t="s">
        <v>512</v>
      </c>
      <c r="F20" s="158" t="s">
        <v>513</v>
      </c>
      <c r="G20" s="158" t="s">
        <v>335</v>
      </c>
      <c r="H20" s="158" t="s">
        <v>311</v>
      </c>
      <c r="I20" s="158" t="s">
        <v>244</v>
      </c>
      <c r="K20" s="154" t="s">
        <v>584</v>
      </c>
      <c r="L20" s="154" t="str">
        <f t="shared" si="5"/>
        <v>019 Úpravy hodnot pohledávek</v>
      </c>
      <c r="M20" s="153" t="str">
        <f t="shared" si="3"/>
        <v>Úpravy hodnot pohledávek</v>
      </c>
    </row>
    <row r="21" spans="1:13" x14ac:dyDescent="0.3">
      <c r="A21" s="390">
        <v>20</v>
      </c>
      <c r="B21" s="157" t="s">
        <v>209</v>
      </c>
      <c r="C21" s="157" t="s">
        <v>487</v>
      </c>
      <c r="D21" s="157" t="s">
        <v>502</v>
      </c>
      <c r="E21" s="158" t="s">
        <v>512</v>
      </c>
      <c r="F21" s="158" t="s">
        <v>515</v>
      </c>
      <c r="K21" s="154" t="s">
        <v>584</v>
      </c>
      <c r="L21" s="154" t="str">
        <f>IF(ISBLANK(G21),"-",CONCATENATE(TEXT(A21,"000")," ",B21))</f>
        <v>-</v>
      </c>
      <c r="M21" s="153" t="str">
        <f t="shared" si="3"/>
        <v>Ostatní provozní výnosy</v>
      </c>
    </row>
    <row r="22" spans="1:13" x14ac:dyDescent="0.3">
      <c r="A22" s="269">
        <v>21</v>
      </c>
      <c r="B22" s="157" t="s">
        <v>981</v>
      </c>
      <c r="C22" s="157" t="s">
        <v>485</v>
      </c>
      <c r="D22" s="157" t="s">
        <v>499</v>
      </c>
      <c r="E22" s="158" t="s">
        <v>512</v>
      </c>
      <c r="F22" s="158" t="s">
        <v>515</v>
      </c>
      <c r="G22" s="158" t="s">
        <v>335</v>
      </c>
      <c r="H22" s="158" t="s">
        <v>256</v>
      </c>
      <c r="I22" s="158" t="s">
        <v>242</v>
      </c>
      <c r="K22" s="154" t="s">
        <v>584</v>
      </c>
      <c r="L22" s="154" t="str">
        <f>IF(ISBLANK(G22),"-",CONCATENATE(TEXT(A22,"000")," ",B22))</f>
        <v xml:space="preserve">021 Tržby z prodaného dlouhodobého majetku </v>
      </c>
      <c r="M22" s="153" t="str">
        <f t="shared" si="3"/>
        <v xml:space="preserve">Tržby z prodaného dlouhodobého majetku </v>
      </c>
    </row>
    <row r="23" spans="1:13" x14ac:dyDescent="0.3">
      <c r="A23" s="390">
        <v>22</v>
      </c>
      <c r="B23" s="157" t="s">
        <v>982</v>
      </c>
      <c r="C23" s="157" t="s">
        <v>486</v>
      </c>
      <c r="D23" s="157" t="s">
        <v>500</v>
      </c>
      <c r="E23" s="158" t="s">
        <v>512</v>
      </c>
      <c r="F23" s="158" t="s">
        <v>515</v>
      </c>
      <c r="G23" s="158" t="s">
        <v>335</v>
      </c>
      <c r="H23" s="158" t="s">
        <v>256</v>
      </c>
      <c r="I23" s="158" t="s">
        <v>243</v>
      </c>
      <c r="K23" s="154" t="s">
        <v>584</v>
      </c>
      <c r="L23" s="154" t="str">
        <f>IF(ISBLANK(G23),"-",CONCATENATE(TEXT(A23,"000")," ",B23))</f>
        <v>022 Tržby z prodaného materiálu</v>
      </c>
      <c r="M23" s="153" t="str">
        <f t="shared" si="3"/>
        <v>Tržby z prodaného materiálu</v>
      </c>
    </row>
    <row r="24" spans="1:13" x14ac:dyDescent="0.3">
      <c r="A24" s="390">
        <v>23</v>
      </c>
      <c r="B24" s="157" t="s">
        <v>980</v>
      </c>
      <c r="C24" s="157" t="s">
        <v>1183</v>
      </c>
      <c r="D24" s="157" t="s">
        <v>1184</v>
      </c>
      <c r="E24" s="158" t="s">
        <v>512</v>
      </c>
      <c r="F24" s="158" t="s">
        <v>515</v>
      </c>
      <c r="G24" s="158" t="s">
        <v>335</v>
      </c>
      <c r="H24" s="158" t="s">
        <v>256</v>
      </c>
      <c r="I24" s="158" t="s">
        <v>244</v>
      </c>
      <c r="K24" s="154" t="s">
        <v>584</v>
      </c>
      <c r="L24" s="154" t="str">
        <f t="shared" ref="L24" si="6">IF(ISBLANK(G24),"-",CONCATENATE(TEXT(A24,"000")," ",B24))</f>
        <v>023 Jiné provozní výnosy</v>
      </c>
      <c r="M24" s="153" t="str">
        <f t="shared" si="3"/>
        <v>Jiné provozní výnosy</v>
      </c>
    </row>
    <row r="25" spans="1:13" x14ac:dyDescent="0.3">
      <c r="A25" s="269">
        <v>24</v>
      </c>
      <c r="B25" s="157" t="s">
        <v>172</v>
      </c>
      <c r="C25" s="157" t="s">
        <v>488</v>
      </c>
      <c r="D25" s="157" t="s">
        <v>503</v>
      </c>
      <c r="E25" s="158" t="s">
        <v>512</v>
      </c>
      <c r="F25" s="158" t="s">
        <v>513</v>
      </c>
      <c r="K25" s="154" t="s">
        <v>584</v>
      </c>
      <c r="L25" s="154" t="str">
        <f>IF(ISBLANK(G25),"-",CONCATENATE(TEXT(A25,"000")," ",B25))</f>
        <v>-</v>
      </c>
      <c r="M25" s="153" t="str">
        <f t="shared" si="3"/>
        <v>Ostatní provozní náklady</v>
      </c>
    </row>
    <row r="26" spans="1:13" x14ac:dyDescent="0.3">
      <c r="A26" s="390">
        <v>25</v>
      </c>
      <c r="B26" s="157" t="s">
        <v>309</v>
      </c>
      <c r="C26" s="157" t="s">
        <v>1185</v>
      </c>
      <c r="D26" s="157" t="s">
        <v>501</v>
      </c>
      <c r="E26" s="158" t="s">
        <v>512</v>
      </c>
      <c r="F26" s="158" t="s">
        <v>513</v>
      </c>
      <c r="G26" s="158" t="s">
        <v>335</v>
      </c>
      <c r="H26" s="158" t="s">
        <v>312</v>
      </c>
      <c r="I26" s="158" t="s">
        <v>242</v>
      </c>
      <c r="K26" s="154" t="s">
        <v>584</v>
      </c>
      <c r="L26" s="154" t="str">
        <f>IF(ISBLANK(G26),"-",CONCATENATE(TEXT(A26,"000")," ",B26))</f>
        <v>025 Zůstatková cena prodaného dlouhodobého majetku</v>
      </c>
      <c r="M26" s="153" t="str">
        <f t="shared" si="3"/>
        <v>Zůstatková cena prodaného dlouhodobého majetku</v>
      </c>
    </row>
    <row r="27" spans="1:13" x14ac:dyDescent="0.3">
      <c r="A27" s="269">
        <v>26</v>
      </c>
      <c r="B27" s="157" t="s">
        <v>167</v>
      </c>
      <c r="C27" s="157" t="s">
        <v>984</v>
      </c>
      <c r="D27" s="157" t="s">
        <v>1186</v>
      </c>
      <c r="E27" s="158" t="s">
        <v>512</v>
      </c>
      <c r="F27" s="158" t="s">
        <v>513</v>
      </c>
      <c r="G27" s="158" t="s">
        <v>335</v>
      </c>
      <c r="H27" s="158" t="s">
        <v>312</v>
      </c>
      <c r="I27" s="158" t="s">
        <v>243</v>
      </c>
      <c r="K27" s="154" t="s">
        <v>584</v>
      </c>
      <c r="L27" s="154" t="str">
        <f>IF(ISBLANK(G27),"-",CONCATENATE(TEXT(A27,"000")," ",B27))</f>
        <v>026 Prodaný materiál</v>
      </c>
      <c r="M27" s="153" t="str">
        <f t="shared" si="3"/>
        <v>Prodaný materiál</v>
      </c>
    </row>
    <row r="28" spans="1:13" x14ac:dyDescent="0.3">
      <c r="A28" s="390">
        <v>27</v>
      </c>
      <c r="B28" s="157" t="s">
        <v>163</v>
      </c>
      <c r="C28" s="157" t="s">
        <v>484</v>
      </c>
      <c r="D28" s="157" t="s">
        <v>498</v>
      </c>
      <c r="E28" s="158" t="s">
        <v>512</v>
      </c>
      <c r="F28" s="158" t="s">
        <v>513</v>
      </c>
      <c r="G28" s="158" t="s">
        <v>335</v>
      </c>
      <c r="H28" s="158" t="s">
        <v>312</v>
      </c>
      <c r="I28" s="158" t="s">
        <v>244</v>
      </c>
      <c r="K28" s="154" t="s">
        <v>584</v>
      </c>
      <c r="L28" s="154" t="str">
        <f>IF(ISBLANK(G28),"-",CONCATENATE(TEXT(A28,"000")," ",B28))</f>
        <v>027 Daně a poplatky</v>
      </c>
      <c r="M28" s="153" t="str">
        <f t="shared" si="3"/>
        <v>Daně a poplatky</v>
      </c>
    </row>
    <row r="29" spans="1:13" x14ac:dyDescent="0.3">
      <c r="A29" s="390">
        <v>28</v>
      </c>
      <c r="B29" s="157" t="s">
        <v>985</v>
      </c>
      <c r="C29" s="157" t="s">
        <v>986</v>
      </c>
      <c r="D29" s="157" t="s">
        <v>1187</v>
      </c>
      <c r="E29" s="158" t="s">
        <v>512</v>
      </c>
      <c r="F29" s="158" t="s">
        <v>513</v>
      </c>
      <c r="G29" s="158" t="s">
        <v>335</v>
      </c>
      <c r="H29" s="158" t="s">
        <v>312</v>
      </c>
      <c r="I29" s="158" t="s">
        <v>245</v>
      </c>
      <c r="K29" s="154" t="s">
        <v>584</v>
      </c>
      <c r="L29" s="154" t="str">
        <f>IF(ISBLANK(G29),"-",CONCATENATE(TEXT(A29,"000")," ",B29))</f>
        <v>028 Rezervy v provozní oblasti a komplexní náklady příštích období</v>
      </c>
      <c r="M29" s="153" t="str">
        <f t="shared" si="3"/>
        <v>Rezervy v provozní oblasti a komplexní náklady příštích období</v>
      </c>
    </row>
    <row r="30" spans="1:13" x14ac:dyDescent="0.3">
      <c r="A30" s="269">
        <v>29</v>
      </c>
      <c r="B30" s="157" t="s">
        <v>983</v>
      </c>
      <c r="C30" s="157" t="s">
        <v>1188</v>
      </c>
      <c r="D30" s="157" t="s">
        <v>1189</v>
      </c>
      <c r="E30" s="158" t="s">
        <v>512</v>
      </c>
      <c r="F30" s="158" t="s">
        <v>513</v>
      </c>
      <c r="G30" s="158" t="s">
        <v>335</v>
      </c>
      <c r="H30" s="158" t="s">
        <v>312</v>
      </c>
      <c r="I30" s="158" t="s">
        <v>246</v>
      </c>
      <c r="K30" s="154" t="s">
        <v>584</v>
      </c>
      <c r="L30" s="154" t="str">
        <f t="shared" ref="L30" si="7">IF(ISBLANK(G30),"-",CONCATENATE(TEXT(A30,"000")," ",B30))</f>
        <v>029 Jiné provozní náklady</v>
      </c>
      <c r="M30" s="153" t="str">
        <f t="shared" si="3"/>
        <v>Jiné provozní náklady</v>
      </c>
    </row>
    <row r="31" spans="1:13" x14ac:dyDescent="0.3">
      <c r="A31" s="390">
        <v>30</v>
      </c>
      <c r="B31" s="157" t="s">
        <v>1259</v>
      </c>
      <c r="C31" s="157" t="s">
        <v>1260</v>
      </c>
      <c r="D31" s="157" t="s">
        <v>1261</v>
      </c>
      <c r="E31" s="158" t="s">
        <v>512</v>
      </c>
      <c r="F31" s="158" t="s">
        <v>310</v>
      </c>
      <c r="K31" s="154" t="s">
        <v>584</v>
      </c>
      <c r="L31" s="154" t="str">
        <f t="shared" ref="L31:L36" si="8">IF(ISBLANK(G31),"-",CONCATENATE(TEXT(A31,"000")," ",B31))</f>
        <v>-</v>
      </c>
      <c r="M31" s="153" t="str">
        <f t="shared" si="3"/>
        <v>Provozní výsledek hospodaření (+/-)</v>
      </c>
    </row>
    <row r="32" spans="1:13" x14ac:dyDescent="0.3">
      <c r="A32" s="269">
        <v>31</v>
      </c>
      <c r="B32" s="157" t="s">
        <v>987</v>
      </c>
      <c r="C32" s="157" t="s">
        <v>1190</v>
      </c>
      <c r="D32" s="157" t="s">
        <v>1191</v>
      </c>
      <c r="E32" s="158" t="s">
        <v>512</v>
      </c>
      <c r="F32" s="158" t="s">
        <v>515</v>
      </c>
      <c r="G32" s="158" t="s">
        <v>335</v>
      </c>
      <c r="K32" s="154" t="s">
        <v>584</v>
      </c>
      <c r="L32" s="154" t="str">
        <f t="shared" si="8"/>
        <v>031 Výnosy z dlouhodobého finančního majetku - podíly</v>
      </c>
      <c r="M32" s="153" t="str">
        <f t="shared" si="3"/>
        <v>Výnosy z dlouhodobého finančního majetku - podíly</v>
      </c>
    </row>
    <row r="33" spans="1:13" x14ac:dyDescent="0.3">
      <c r="A33" s="390">
        <v>32</v>
      </c>
      <c r="B33" s="157" t="s">
        <v>988</v>
      </c>
      <c r="C33" s="157" t="s">
        <v>1192</v>
      </c>
      <c r="D33" s="157" t="s">
        <v>1193</v>
      </c>
      <c r="E33" s="158" t="s">
        <v>512</v>
      </c>
      <c r="F33" s="158" t="s">
        <v>515</v>
      </c>
      <c r="G33" s="158" t="s">
        <v>335</v>
      </c>
      <c r="H33" s="158" t="s">
        <v>273</v>
      </c>
      <c r="I33" s="158" t="s">
        <v>242</v>
      </c>
      <c r="K33" s="154" t="s">
        <v>584</v>
      </c>
      <c r="L33" s="154" t="str">
        <f t="shared" si="8"/>
        <v>032 Výnosy z podílů - ovládaná nebo ovládající osoba</v>
      </c>
      <c r="M33" s="153" t="str">
        <f t="shared" si="3"/>
        <v>Výnosy z podílů - ovládaná nebo ovládající osoba</v>
      </c>
    </row>
    <row r="34" spans="1:13" x14ac:dyDescent="0.3">
      <c r="A34" s="390">
        <v>33</v>
      </c>
      <c r="B34" s="157" t="s">
        <v>989</v>
      </c>
      <c r="C34" s="157" t="s">
        <v>1194</v>
      </c>
      <c r="D34" s="157" t="s">
        <v>1195</v>
      </c>
      <c r="E34" s="158" t="s">
        <v>512</v>
      </c>
      <c r="F34" s="158" t="s">
        <v>515</v>
      </c>
      <c r="G34" s="158" t="s">
        <v>335</v>
      </c>
      <c r="H34" s="158" t="s">
        <v>273</v>
      </c>
      <c r="I34" s="158" t="s">
        <v>243</v>
      </c>
      <c r="K34" s="154" t="s">
        <v>584</v>
      </c>
      <c r="L34" s="154" t="str">
        <f t="shared" si="8"/>
        <v>033 Ostatní výnosy z podílů</v>
      </c>
      <c r="M34" s="153" t="str">
        <f t="shared" si="3"/>
        <v>Ostatní výnosy z podílů</v>
      </c>
    </row>
    <row r="35" spans="1:13" x14ac:dyDescent="0.3">
      <c r="A35" s="269">
        <v>34</v>
      </c>
      <c r="B35" s="157" t="s">
        <v>990</v>
      </c>
      <c r="C35" s="157" t="s">
        <v>489</v>
      </c>
      <c r="D35" s="157" t="s">
        <v>1196</v>
      </c>
      <c r="E35" s="158" t="s">
        <v>512</v>
      </c>
      <c r="F35" s="158" t="s">
        <v>513</v>
      </c>
      <c r="G35" s="158" t="s">
        <v>335</v>
      </c>
      <c r="H35" s="158" t="s">
        <v>313</v>
      </c>
      <c r="K35" s="154" t="s">
        <v>584</v>
      </c>
      <c r="L35" s="154" t="str">
        <f t="shared" si="8"/>
        <v>034 Náklady vynaložené na prodané podíly</v>
      </c>
      <c r="M35" s="153" t="str">
        <f t="shared" si="3"/>
        <v>Náklady vynaložené na prodané podíly</v>
      </c>
    </row>
    <row r="36" spans="1:13" x14ac:dyDescent="0.3">
      <c r="A36" s="390">
        <v>35</v>
      </c>
      <c r="B36" s="157" t="s">
        <v>323</v>
      </c>
      <c r="C36" s="157" t="s">
        <v>1197</v>
      </c>
      <c r="D36" s="157" t="s">
        <v>1198</v>
      </c>
      <c r="E36" s="158" t="s">
        <v>512</v>
      </c>
      <c r="F36" s="158" t="s">
        <v>515</v>
      </c>
      <c r="G36" s="158" t="s">
        <v>335</v>
      </c>
      <c r="K36" s="154" t="s">
        <v>584</v>
      </c>
      <c r="L36" s="154" t="str">
        <f t="shared" si="8"/>
        <v>035 Výnosy z ostatního dlouhodobého finančního majetku</v>
      </c>
      <c r="M36" s="153" t="str">
        <f t="shared" si="3"/>
        <v>Výnosy z ostatního dlouhodobého finančního majetku</v>
      </c>
    </row>
    <row r="37" spans="1:13" x14ac:dyDescent="0.3">
      <c r="A37" s="269">
        <v>36</v>
      </c>
      <c r="B37" s="157" t="s">
        <v>1238</v>
      </c>
      <c r="C37" s="157" t="s">
        <v>1199</v>
      </c>
      <c r="D37" s="157" t="s">
        <v>1200</v>
      </c>
      <c r="E37" s="158" t="s">
        <v>512</v>
      </c>
      <c r="F37" s="158" t="s">
        <v>515</v>
      </c>
      <c r="G37" s="158" t="s">
        <v>335</v>
      </c>
      <c r="H37" s="158" t="s">
        <v>281</v>
      </c>
      <c r="I37" s="158" t="s">
        <v>242</v>
      </c>
      <c r="K37" s="154" t="s">
        <v>584</v>
      </c>
      <c r="L37" s="154" t="str">
        <f t="shared" si="5"/>
        <v>036 Výnosy z ostatního dlouh. fin. majetku - ovládaná nebo ovládající osoba</v>
      </c>
      <c r="M37" s="153" t="str">
        <f t="shared" si="3"/>
        <v>Výnosy z ostatního dlouh. fin. majetku - ovládaná nebo ovládající osoba</v>
      </c>
    </row>
    <row r="38" spans="1:13" x14ac:dyDescent="0.3">
      <c r="A38" s="390">
        <v>37</v>
      </c>
      <c r="B38" s="157" t="s">
        <v>991</v>
      </c>
      <c r="C38" s="157" t="s">
        <v>1201</v>
      </c>
      <c r="D38" s="157" t="s">
        <v>1202</v>
      </c>
      <c r="E38" s="158" t="s">
        <v>512</v>
      </c>
      <c r="F38" s="158" t="s">
        <v>515</v>
      </c>
      <c r="G38" s="158" t="s">
        <v>335</v>
      </c>
      <c r="H38" s="391" t="s">
        <v>281</v>
      </c>
      <c r="I38" s="158" t="s">
        <v>243</v>
      </c>
      <c r="J38" s="391"/>
      <c r="K38" s="154" t="s">
        <v>584</v>
      </c>
      <c r="L38" s="392" t="str">
        <f>IF(ISBLANK(G38),"-",CONCATENATE(TEXT(A38,"000")," ",B38))</f>
        <v>037 Ostatní výnosy z ostatního dlouhodobého finančního majetku</v>
      </c>
      <c r="M38" s="393" t="str">
        <f t="shared" si="3"/>
        <v>Ostatní výnosy z ostatního dlouhodobého finančního majetku</v>
      </c>
    </row>
    <row r="39" spans="1:13" x14ac:dyDescent="0.3">
      <c r="A39" s="390">
        <v>38</v>
      </c>
      <c r="B39" s="157" t="s">
        <v>992</v>
      </c>
      <c r="C39" s="157" t="s">
        <v>1203</v>
      </c>
      <c r="D39" s="157" t="s">
        <v>1204</v>
      </c>
      <c r="E39" s="158" t="s">
        <v>512</v>
      </c>
      <c r="F39" s="158" t="s">
        <v>515</v>
      </c>
      <c r="G39" s="158" t="s">
        <v>335</v>
      </c>
      <c r="H39" s="391" t="s">
        <v>314</v>
      </c>
      <c r="I39" s="391"/>
      <c r="J39" s="391"/>
      <c r="K39" s="154" t="s">
        <v>584</v>
      </c>
      <c r="L39" s="392" t="str">
        <f>IF(ISBLANK(G39),"-",CONCATENATE(TEXT(A39,"000")," ",B39))</f>
        <v>038 Náklady související s ostatním dlouhodobým finančním majetkem</v>
      </c>
      <c r="M39" s="393" t="str">
        <f t="shared" si="3"/>
        <v>Náklady související s ostatním dlouhodobým finančním majetkem</v>
      </c>
    </row>
    <row r="40" spans="1:13" x14ac:dyDescent="0.3">
      <c r="A40" s="269">
        <v>39</v>
      </c>
      <c r="B40" s="157" t="s">
        <v>993</v>
      </c>
      <c r="C40" s="157" t="s">
        <v>994</v>
      </c>
      <c r="D40" s="157" t="s">
        <v>1205</v>
      </c>
      <c r="E40" s="158" t="s">
        <v>512</v>
      </c>
      <c r="F40" s="158" t="s">
        <v>515</v>
      </c>
      <c r="G40" s="158" t="s">
        <v>335</v>
      </c>
      <c r="K40" s="154" t="s">
        <v>584</v>
      </c>
      <c r="L40" s="154" t="str">
        <f>IF(ISBLANK(G40),"-",CONCATENATE(TEXT(A40,"000")," ",B40))</f>
        <v>039 Výnosové úroky a podobné výnosy</v>
      </c>
      <c r="M40" s="153" t="str">
        <f t="shared" ref="M40:M57" si="9">IF(jazyk="česky",B40,IF(jazyk="anglicky",C40,IF(jazyk="německy",D40,"-")))</f>
        <v>Výnosové úroky a podobné výnosy</v>
      </c>
    </row>
    <row r="41" spans="1:13" x14ac:dyDescent="0.3">
      <c r="A41" s="390">
        <v>40</v>
      </c>
      <c r="B41" s="157" t="s">
        <v>1237</v>
      </c>
      <c r="C41" s="157" t="s">
        <v>1206</v>
      </c>
      <c r="D41" s="157" t="s">
        <v>1207</v>
      </c>
      <c r="E41" s="158" t="s">
        <v>512</v>
      </c>
      <c r="F41" s="158" t="s">
        <v>515</v>
      </c>
      <c r="G41" s="158" t="s">
        <v>335</v>
      </c>
      <c r="H41" s="391" t="s">
        <v>327</v>
      </c>
      <c r="I41" s="158" t="s">
        <v>242</v>
      </c>
      <c r="J41" s="391"/>
      <c r="K41" s="154" t="s">
        <v>584</v>
      </c>
      <c r="L41" s="392" t="str">
        <f>IF(ISBLANK(G41),"-",CONCATENATE(TEXT(A41,"000")," ",B41))</f>
        <v>040 Výnos. úroky a podobné výnosy - ovládaná nebo ovládající osoba</v>
      </c>
      <c r="M41" s="393" t="str">
        <f t="shared" si="9"/>
        <v>Výnos. úroky a podobné výnosy - ovládaná nebo ovládající osoba</v>
      </c>
    </row>
    <row r="42" spans="1:13" x14ac:dyDescent="0.3">
      <c r="A42" s="269">
        <v>41</v>
      </c>
      <c r="B42" s="157" t="s">
        <v>995</v>
      </c>
      <c r="C42" s="157" t="s">
        <v>1208</v>
      </c>
      <c r="D42" s="157" t="s">
        <v>1209</v>
      </c>
      <c r="E42" s="158" t="s">
        <v>512</v>
      </c>
      <c r="F42" s="158" t="s">
        <v>515</v>
      </c>
      <c r="G42" s="158" t="s">
        <v>335</v>
      </c>
      <c r="H42" s="391" t="s">
        <v>327</v>
      </c>
      <c r="I42" s="158" t="s">
        <v>243</v>
      </c>
      <c r="J42" s="391"/>
      <c r="K42" s="392"/>
      <c r="L42" s="392" t="str">
        <f t="shared" ref="L42" si="10">IF(ISBLANK(G42),"-",CONCATENATE(TEXT(A42,"000")," ",B42))</f>
        <v>041 Ostatní výnosové úroky a podobné výnosy</v>
      </c>
      <c r="M42" s="393" t="str">
        <f t="shared" si="9"/>
        <v>Ostatní výnosové úroky a podobné výnosy</v>
      </c>
    </row>
    <row r="43" spans="1:13" x14ac:dyDescent="0.3">
      <c r="A43" s="390">
        <v>42</v>
      </c>
      <c r="B43" s="157" t="s">
        <v>996</v>
      </c>
      <c r="C43" s="157" t="s">
        <v>1210</v>
      </c>
      <c r="D43" s="157" t="s">
        <v>1211</v>
      </c>
      <c r="E43" s="158" t="s">
        <v>512</v>
      </c>
      <c r="F43" s="158" t="s">
        <v>513</v>
      </c>
      <c r="G43" s="158" t="s">
        <v>335</v>
      </c>
      <c r="H43" s="158" t="s">
        <v>241</v>
      </c>
      <c r="K43" s="154" t="s">
        <v>584</v>
      </c>
      <c r="L43" s="154" t="str">
        <f t="shared" ref="L43:L56" si="11">IF(ISBLANK(G43),"-",CONCATENATE(TEXT(A43,"000")," ",B43))</f>
        <v>042 Úpravy hodnot a rezervy ve finanční oblasti</v>
      </c>
      <c r="M43" s="153" t="str">
        <f t="shared" si="9"/>
        <v>Úpravy hodnot a rezervy ve finanční oblasti</v>
      </c>
    </row>
    <row r="44" spans="1:13" x14ac:dyDescent="0.3">
      <c r="A44" s="390">
        <v>43</v>
      </c>
      <c r="B44" s="157" t="s">
        <v>997</v>
      </c>
      <c r="C44" s="157" t="s">
        <v>998</v>
      </c>
      <c r="D44" s="157" t="s">
        <v>1212</v>
      </c>
      <c r="E44" s="158" t="s">
        <v>512</v>
      </c>
      <c r="F44" s="158" t="s">
        <v>513</v>
      </c>
      <c r="G44" s="158" t="s">
        <v>335</v>
      </c>
      <c r="K44" s="154" t="s">
        <v>584</v>
      </c>
      <c r="L44" s="154" t="str">
        <f t="shared" si="11"/>
        <v>043 Nákladové úroky a podobné náklady</v>
      </c>
      <c r="M44" s="153" t="str">
        <f t="shared" si="9"/>
        <v>Nákladové úroky a podobné náklady</v>
      </c>
    </row>
    <row r="45" spans="1:13" x14ac:dyDescent="0.3">
      <c r="A45" s="269">
        <v>44</v>
      </c>
      <c r="B45" s="157" t="s">
        <v>1236</v>
      </c>
      <c r="C45" s="157" t="s">
        <v>1213</v>
      </c>
      <c r="D45" s="157" t="s">
        <v>1214</v>
      </c>
      <c r="E45" s="158" t="s">
        <v>512</v>
      </c>
      <c r="F45" s="158" t="s">
        <v>513</v>
      </c>
      <c r="G45" s="158" t="s">
        <v>335</v>
      </c>
      <c r="H45" s="391" t="s">
        <v>328</v>
      </c>
      <c r="I45" s="158" t="s">
        <v>242</v>
      </c>
      <c r="J45" s="391"/>
      <c r="K45" s="392"/>
      <c r="L45" s="392" t="str">
        <f t="shared" si="11"/>
        <v>044 Nákl. úroky a podobné náklady - ovládaná nebo ovládající osoba</v>
      </c>
      <c r="M45" s="393" t="str">
        <f t="shared" si="9"/>
        <v>Nákl. úroky a podobné náklady - ovládaná nebo ovládající osoba</v>
      </c>
    </row>
    <row r="46" spans="1:13" x14ac:dyDescent="0.3">
      <c r="A46" s="390">
        <v>45</v>
      </c>
      <c r="B46" s="157" t="s">
        <v>999</v>
      </c>
      <c r="C46" s="157" t="s">
        <v>1215</v>
      </c>
      <c r="D46" s="157" t="s">
        <v>1216</v>
      </c>
      <c r="E46" s="158" t="s">
        <v>512</v>
      </c>
      <c r="F46" s="158" t="s">
        <v>513</v>
      </c>
      <c r="G46" s="158" t="s">
        <v>335</v>
      </c>
      <c r="H46" s="391" t="s">
        <v>328</v>
      </c>
      <c r="I46" s="158" t="s">
        <v>243</v>
      </c>
      <c r="K46" s="154" t="s">
        <v>584</v>
      </c>
      <c r="L46" s="154" t="str">
        <f t="shared" si="11"/>
        <v>045 Ostatní nákladové úroky a podobné náklady</v>
      </c>
      <c r="M46" s="153" t="str">
        <f t="shared" si="9"/>
        <v>Ostatní nákladové úroky a podobné náklady</v>
      </c>
    </row>
    <row r="47" spans="1:13" x14ac:dyDescent="0.3">
      <c r="A47" s="269">
        <v>46</v>
      </c>
      <c r="B47" s="157" t="s">
        <v>216</v>
      </c>
      <c r="C47" s="157" t="s">
        <v>490</v>
      </c>
      <c r="D47" s="157" t="s">
        <v>504</v>
      </c>
      <c r="E47" s="158" t="s">
        <v>512</v>
      </c>
      <c r="F47" s="158" t="s">
        <v>515</v>
      </c>
      <c r="G47" s="158" t="s">
        <v>335</v>
      </c>
      <c r="H47" s="158" t="s">
        <v>329</v>
      </c>
      <c r="K47" s="154" t="s">
        <v>584</v>
      </c>
      <c r="L47" s="154" t="str">
        <f t="shared" si="11"/>
        <v>046 Ostatní finanční výnosy</v>
      </c>
      <c r="M47" s="153" t="str">
        <f t="shared" si="9"/>
        <v>Ostatní finanční výnosy</v>
      </c>
    </row>
    <row r="48" spans="1:13" x14ac:dyDescent="0.3">
      <c r="A48" s="390">
        <v>47</v>
      </c>
      <c r="B48" s="157" t="s">
        <v>186</v>
      </c>
      <c r="C48" s="157" t="s">
        <v>491</v>
      </c>
      <c r="D48" s="157" t="s">
        <v>505</v>
      </c>
      <c r="E48" s="158" t="s">
        <v>512</v>
      </c>
      <c r="F48" s="158" t="s">
        <v>513</v>
      </c>
      <c r="G48" s="158" t="s">
        <v>335</v>
      </c>
      <c r="H48" s="158" t="s">
        <v>330</v>
      </c>
      <c r="K48" s="154" t="s">
        <v>584</v>
      </c>
      <c r="L48" s="154" t="str">
        <f t="shared" si="11"/>
        <v>047 Ostatní finanční náklady</v>
      </c>
      <c r="M48" s="153" t="str">
        <f t="shared" si="9"/>
        <v>Ostatní finanční náklady</v>
      </c>
    </row>
    <row r="49" spans="1:13" x14ac:dyDescent="0.3">
      <c r="A49" s="390">
        <v>48</v>
      </c>
      <c r="B49" s="157" t="s">
        <v>1262</v>
      </c>
      <c r="C49" s="157" t="s">
        <v>1263</v>
      </c>
      <c r="D49" s="157" t="s">
        <v>1264</v>
      </c>
      <c r="E49" s="158" t="s">
        <v>512</v>
      </c>
      <c r="F49" s="158" t="s">
        <v>310</v>
      </c>
      <c r="K49" s="154" t="s">
        <v>584</v>
      </c>
      <c r="L49" s="154" t="str">
        <f t="shared" si="11"/>
        <v>-</v>
      </c>
      <c r="M49" s="153" t="str">
        <f t="shared" si="9"/>
        <v>Finanční výsledek hospodaření (+/-)</v>
      </c>
    </row>
    <row r="50" spans="1:13" x14ac:dyDescent="0.3">
      <c r="A50" s="269">
        <v>49</v>
      </c>
      <c r="B50" s="157" t="s">
        <v>1265</v>
      </c>
      <c r="C50" s="157" t="s">
        <v>1266</v>
      </c>
      <c r="D50" s="157" t="s">
        <v>1267</v>
      </c>
      <c r="E50" s="158" t="s">
        <v>512</v>
      </c>
      <c r="F50" s="158" t="s">
        <v>310</v>
      </c>
      <c r="K50" s="154" t="s">
        <v>584</v>
      </c>
      <c r="L50" s="154" t="str">
        <f t="shared" si="11"/>
        <v>-</v>
      </c>
      <c r="M50" s="153" t="str">
        <f t="shared" si="9"/>
        <v>Výsledek hospodaření před zdaněním (+/-)</v>
      </c>
    </row>
    <row r="51" spans="1:13" x14ac:dyDescent="0.3">
      <c r="A51" s="390">
        <v>50</v>
      </c>
      <c r="B51" s="157" t="s">
        <v>81</v>
      </c>
      <c r="C51" s="157" t="s">
        <v>1001</v>
      </c>
      <c r="D51" s="157" t="s">
        <v>1217</v>
      </c>
      <c r="E51" s="158" t="s">
        <v>512</v>
      </c>
      <c r="F51" s="158" t="s">
        <v>310</v>
      </c>
      <c r="K51" s="154" t="s">
        <v>584</v>
      </c>
      <c r="L51" s="154" t="str">
        <f t="shared" si="11"/>
        <v>-</v>
      </c>
      <c r="M51" s="153" t="str">
        <f t="shared" si="9"/>
        <v>Daň z příjmů</v>
      </c>
    </row>
    <row r="52" spans="1:13" x14ac:dyDescent="0.3">
      <c r="A52" s="269">
        <v>51</v>
      </c>
      <c r="B52" s="157" t="s">
        <v>1000</v>
      </c>
      <c r="C52" s="157" t="s">
        <v>1002</v>
      </c>
      <c r="D52" s="157" t="s">
        <v>1218</v>
      </c>
      <c r="E52" s="158" t="s">
        <v>512</v>
      </c>
      <c r="F52" s="158" t="s">
        <v>513</v>
      </c>
      <c r="G52" s="158" t="s">
        <v>335</v>
      </c>
      <c r="H52" s="158" t="s">
        <v>331</v>
      </c>
      <c r="I52" s="158" t="s">
        <v>242</v>
      </c>
      <c r="K52" s="154" t="s">
        <v>584</v>
      </c>
      <c r="L52" s="154" t="str">
        <f t="shared" si="11"/>
        <v>051 Daň z příjmů splatná</v>
      </c>
      <c r="M52" s="153" t="str">
        <f t="shared" si="9"/>
        <v>Daň z příjmů splatná</v>
      </c>
    </row>
    <row r="53" spans="1:13" x14ac:dyDescent="0.3">
      <c r="A53" s="390">
        <v>52</v>
      </c>
      <c r="B53" s="157" t="s">
        <v>1277</v>
      </c>
      <c r="C53" s="157" t="s">
        <v>1278</v>
      </c>
      <c r="D53" s="157" t="s">
        <v>1279</v>
      </c>
      <c r="E53" s="158" t="s">
        <v>512</v>
      </c>
      <c r="F53" s="158" t="s">
        <v>513</v>
      </c>
      <c r="G53" s="158" t="s">
        <v>335</v>
      </c>
      <c r="H53" s="158" t="s">
        <v>331</v>
      </c>
      <c r="I53" s="158" t="s">
        <v>243</v>
      </c>
      <c r="K53" s="154" t="s">
        <v>584</v>
      </c>
      <c r="L53" s="154" t="str">
        <f t="shared" si="11"/>
        <v>052 Daň z příjmů odložená (+/-)</v>
      </c>
      <c r="M53" s="153" t="str">
        <f t="shared" si="9"/>
        <v>Daň z příjmů odložená (+/-)</v>
      </c>
    </row>
    <row r="54" spans="1:13" x14ac:dyDescent="0.3">
      <c r="A54" s="390">
        <v>53</v>
      </c>
      <c r="B54" s="157" t="s">
        <v>1268</v>
      </c>
      <c r="C54" s="157" t="s">
        <v>1269</v>
      </c>
      <c r="D54" s="157" t="s">
        <v>1270</v>
      </c>
      <c r="E54" s="158" t="s">
        <v>512</v>
      </c>
      <c r="F54" s="158" t="s">
        <v>310</v>
      </c>
      <c r="K54" s="154" t="s">
        <v>584</v>
      </c>
      <c r="L54" s="154" t="str">
        <f t="shared" si="11"/>
        <v>-</v>
      </c>
      <c r="M54" s="153" t="str">
        <f t="shared" si="9"/>
        <v>Výsledek hospodaření po zdanění (+/-)</v>
      </c>
    </row>
    <row r="55" spans="1:13" x14ac:dyDescent="0.3">
      <c r="A55" s="269">
        <v>54</v>
      </c>
      <c r="B55" s="157" t="s">
        <v>1274</v>
      </c>
      <c r="C55" s="157" t="s">
        <v>1275</v>
      </c>
      <c r="D55" s="157" t="s">
        <v>1276</v>
      </c>
      <c r="E55" s="158" t="s">
        <v>512</v>
      </c>
      <c r="F55" s="158" t="s">
        <v>515</v>
      </c>
      <c r="G55" s="158" t="s">
        <v>335</v>
      </c>
      <c r="H55" s="158" t="s">
        <v>332</v>
      </c>
      <c r="K55" s="154" t="s">
        <v>584</v>
      </c>
      <c r="L55" s="154" t="str">
        <f t="shared" si="11"/>
        <v>054 Převod podílu na výsledku hospodaření společníkům (+/-)</v>
      </c>
      <c r="M55" s="153" t="str">
        <f t="shared" si="9"/>
        <v>Převod podílu na výsledku hospodaření společníkům (+/-)</v>
      </c>
    </row>
    <row r="56" spans="1:13" x14ac:dyDescent="0.3">
      <c r="A56" s="390">
        <v>55</v>
      </c>
      <c r="B56" s="157" t="s">
        <v>1271</v>
      </c>
      <c r="C56" s="157" t="s">
        <v>1272</v>
      </c>
      <c r="D56" s="157" t="s">
        <v>1273</v>
      </c>
      <c r="E56" s="158" t="s">
        <v>512</v>
      </c>
      <c r="F56" s="158" t="s">
        <v>310</v>
      </c>
      <c r="K56" s="154" t="s">
        <v>584</v>
      </c>
      <c r="L56" s="154" t="str">
        <f t="shared" si="11"/>
        <v>-</v>
      </c>
      <c r="M56" s="153" t="str">
        <f t="shared" si="9"/>
        <v>Výsledek hospodaření za účetní období (+/-)</v>
      </c>
    </row>
    <row r="57" spans="1:13" x14ac:dyDescent="0.3">
      <c r="A57" s="269">
        <v>56</v>
      </c>
      <c r="B57" s="157" t="s">
        <v>1219</v>
      </c>
      <c r="C57" s="157" t="s">
        <v>1220</v>
      </c>
      <c r="D57" s="157" t="s">
        <v>1221</v>
      </c>
      <c r="E57" s="158" t="s">
        <v>512</v>
      </c>
      <c r="F57" s="158" t="s">
        <v>310</v>
      </c>
      <c r="K57" s="154" t="s">
        <v>584</v>
      </c>
      <c r="L57" s="154" t="str">
        <f t="shared" si="5"/>
        <v>-</v>
      </c>
      <c r="M57" s="153" t="str">
        <f t="shared" si="9"/>
        <v>Čistý obrat za účetní období (I. + II. + III. + IV. + V. + VI. + VII.)</v>
      </c>
    </row>
  </sheetData>
  <sortState xmlns:xlrd2="http://schemas.microsoft.com/office/spreadsheetml/2017/richdata2" ref="A2:J4">
    <sortCondition ref="A2:A4"/>
  </sortState>
  <pageMargins left="0.7" right="0.7" top="0.78740157499999996" bottom="0.78740157499999996" header="0.3" footer="0.3"/>
  <pageSetup orientation="portrait" horizontalDpi="4294967294" verticalDpi="300" r:id="rId1"/>
  <tableParts count="1">
    <tablePart r:id="rId2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outlinePr summaryBelow="0" summaryRight="0"/>
  </sheetPr>
  <dimension ref="A1:K41"/>
  <sheetViews>
    <sheetView showGridLines="0" workbookViewId="0">
      <pane xSplit="2" ySplit="1" topLeftCell="C2" activePane="bottomRight" state="frozen"/>
      <selection activeCell="B4" sqref="B4"/>
      <selection pane="topRight" activeCell="B4" sqref="B4"/>
      <selection pane="bottomLeft" activeCell="B4" sqref="B4"/>
      <selection pane="bottomRight" activeCell="B4" sqref="B4"/>
    </sheetView>
  </sheetViews>
  <sheetFormatPr defaultColWidth="9.109375" defaultRowHeight="10.199999999999999" outlineLevelCol="1" x14ac:dyDescent="0.3"/>
  <cols>
    <col min="1" max="1" width="5.33203125" style="277" customWidth="1"/>
    <col min="2" max="2" width="40.6640625" style="157" customWidth="1" collapsed="1"/>
    <col min="3" max="4" width="30.6640625" style="157" hidden="1" customWidth="1" outlineLevel="1"/>
    <col min="5" max="5" width="6.6640625" style="276" customWidth="1"/>
    <col min="6" max="6" width="5.88671875" style="276" customWidth="1"/>
    <col min="7" max="10" width="6" style="157" customWidth="1"/>
    <col min="11" max="11" width="46.6640625" style="153" customWidth="1"/>
    <col min="12" max="16384" width="9.109375" style="154"/>
  </cols>
  <sheetData>
    <row r="1" spans="1:11" x14ac:dyDescent="0.3">
      <c r="A1" s="273" t="s">
        <v>258</v>
      </c>
      <c r="B1" s="151" t="s">
        <v>288</v>
      </c>
      <c r="C1" s="151" t="s">
        <v>289</v>
      </c>
      <c r="D1" s="151" t="s">
        <v>290</v>
      </c>
      <c r="E1" s="274" t="s">
        <v>233</v>
      </c>
      <c r="F1" s="274" t="s">
        <v>303</v>
      </c>
      <c r="G1" s="151" t="s">
        <v>519</v>
      </c>
      <c r="H1" s="151" t="s">
        <v>520</v>
      </c>
      <c r="I1" s="151" t="s">
        <v>522</v>
      </c>
      <c r="J1" s="151" t="s">
        <v>766</v>
      </c>
      <c r="K1" s="153" t="s">
        <v>301</v>
      </c>
    </row>
    <row r="2" spans="1:11" x14ac:dyDescent="0.3">
      <c r="A2" s="275">
        <v>1</v>
      </c>
      <c r="B2" s="157" t="s">
        <v>676</v>
      </c>
      <c r="C2" s="157" t="s">
        <v>739</v>
      </c>
      <c r="D2" s="157" t="s">
        <v>740</v>
      </c>
      <c r="E2" s="276" t="s">
        <v>743</v>
      </c>
      <c r="F2" s="276" t="s">
        <v>768</v>
      </c>
      <c r="G2" s="157" t="s">
        <v>333</v>
      </c>
      <c r="K2" s="153" t="str">
        <f t="shared" ref="K2:K6" si="0">IF(jazyk="česky",B2,IF(jazyk="anglicky",C2,IF(jazyk="německy",D2,"-")))</f>
        <v>Stav peněžních prostředků a peněžních ekvivalentů na začátku účetního období</v>
      </c>
    </row>
    <row r="3" spans="1:11" x14ac:dyDescent="0.3">
      <c r="A3" s="275">
        <v>2</v>
      </c>
      <c r="B3" s="157" t="s">
        <v>711</v>
      </c>
      <c r="C3" s="157" t="s">
        <v>741</v>
      </c>
      <c r="D3" s="157" t="s">
        <v>742</v>
      </c>
      <c r="E3" s="276" t="s">
        <v>743</v>
      </c>
      <c r="F3" s="276" t="s">
        <v>744</v>
      </c>
      <c r="K3" s="153" t="str">
        <f t="shared" si="0"/>
        <v>PENĚŽNÍ TOKY Z HLAVNÍ VÝDĚLEČNÉ ČINNOSTI</v>
      </c>
    </row>
    <row r="4" spans="1:11" x14ac:dyDescent="0.3">
      <c r="A4" s="275">
        <v>3</v>
      </c>
      <c r="B4" s="157" t="s">
        <v>679</v>
      </c>
      <c r="C4" s="157" t="s">
        <v>745</v>
      </c>
      <c r="D4" s="157" t="s">
        <v>746</v>
      </c>
      <c r="E4" s="276" t="s">
        <v>743</v>
      </c>
      <c r="F4" s="276" t="s">
        <v>744</v>
      </c>
      <c r="G4" s="157" t="s">
        <v>765</v>
      </c>
      <c r="K4" s="153" t="str">
        <f t="shared" si="0"/>
        <v>Účetní zisk nebo ztráta z běžné činnosti před zdaněním</v>
      </c>
    </row>
    <row r="5" spans="1:11" x14ac:dyDescent="0.3">
      <c r="A5" s="275">
        <v>4</v>
      </c>
      <c r="B5" s="157" t="s">
        <v>747</v>
      </c>
      <c r="C5" s="157" t="s">
        <v>748</v>
      </c>
      <c r="D5" s="157" t="s">
        <v>749</v>
      </c>
      <c r="E5" s="276" t="s">
        <v>743</v>
      </c>
      <c r="F5" s="276" t="s">
        <v>744</v>
      </c>
      <c r="G5" s="157" t="s">
        <v>239</v>
      </c>
      <c r="H5" s="157" t="s">
        <v>242</v>
      </c>
      <c r="K5" s="153" t="str">
        <f t="shared" si="0"/>
        <v>Úpravy o nepeněžní operace</v>
      </c>
    </row>
    <row r="6" spans="1:11" x14ac:dyDescent="0.3">
      <c r="A6" s="275">
        <v>5</v>
      </c>
      <c r="B6" s="157" t="s">
        <v>751</v>
      </c>
      <c r="C6" s="157" t="s">
        <v>752</v>
      </c>
      <c r="D6" s="157" t="s">
        <v>750</v>
      </c>
      <c r="E6" s="276" t="s">
        <v>743</v>
      </c>
      <c r="F6" s="276" t="s">
        <v>744</v>
      </c>
      <c r="G6" s="157" t="s">
        <v>239</v>
      </c>
      <c r="H6" s="157" t="s">
        <v>242</v>
      </c>
      <c r="I6" s="157" t="s">
        <v>242</v>
      </c>
      <c r="K6" s="153" t="str">
        <f t="shared" si="0"/>
        <v>Odpisy stálých  aktiv</v>
      </c>
    </row>
    <row r="7" spans="1:11" x14ac:dyDescent="0.3">
      <c r="A7" s="275">
        <v>6</v>
      </c>
      <c r="B7" s="157" t="s">
        <v>863</v>
      </c>
      <c r="C7" s="157" t="s">
        <v>861</v>
      </c>
      <c r="D7" s="157" t="s">
        <v>862</v>
      </c>
      <c r="E7" s="276" t="s">
        <v>743</v>
      </c>
      <c r="F7" s="276" t="s">
        <v>744</v>
      </c>
      <c r="G7" s="157" t="s">
        <v>239</v>
      </c>
      <c r="H7" s="157" t="s">
        <v>242</v>
      </c>
      <c r="I7" s="157" t="s">
        <v>243</v>
      </c>
      <c r="K7" s="153" t="str">
        <f t="shared" ref="K7:K41" si="1">IF(jazyk="česky",B7,IF(jazyk="anglicky",C7,IF(jazyk="německy",D7,"-")))</f>
        <v>Změna stavu opravných položek a rezerv</v>
      </c>
    </row>
    <row r="8" spans="1:11" x14ac:dyDescent="0.3">
      <c r="A8" s="275">
        <v>7</v>
      </c>
      <c r="B8" s="157" t="s">
        <v>753</v>
      </c>
      <c r="C8" s="157" t="s">
        <v>754</v>
      </c>
      <c r="D8" s="157" t="s">
        <v>761</v>
      </c>
      <c r="E8" s="276" t="s">
        <v>743</v>
      </c>
      <c r="F8" s="276" t="s">
        <v>744</v>
      </c>
      <c r="G8" s="157" t="s">
        <v>239</v>
      </c>
      <c r="H8" s="157" t="s">
        <v>242</v>
      </c>
      <c r="I8" s="157" t="s">
        <v>244</v>
      </c>
      <c r="K8" s="153" t="str">
        <f t="shared" si="1"/>
        <v>Zisk(-) ztráta(+) z prodeje stálých aktiv</v>
      </c>
    </row>
    <row r="9" spans="1:11" x14ac:dyDescent="0.3">
      <c r="A9" s="275">
        <v>8</v>
      </c>
      <c r="B9" s="157" t="s">
        <v>755</v>
      </c>
      <c r="C9" s="157" t="s">
        <v>756</v>
      </c>
      <c r="D9" s="157" t="s">
        <v>762</v>
      </c>
      <c r="E9" s="276" t="s">
        <v>743</v>
      </c>
      <c r="F9" s="276" t="s">
        <v>744</v>
      </c>
      <c r="G9" s="157" t="s">
        <v>239</v>
      </c>
      <c r="H9" s="157" t="s">
        <v>242</v>
      </c>
      <c r="I9" s="157" t="s">
        <v>245</v>
      </c>
      <c r="K9" s="153" t="str">
        <f t="shared" si="1"/>
        <v>Výnosy z dividend a podílu na zisku</v>
      </c>
    </row>
    <row r="10" spans="1:11" x14ac:dyDescent="0.3">
      <c r="A10" s="275">
        <v>9</v>
      </c>
      <c r="B10" s="157" t="s">
        <v>757</v>
      </c>
      <c r="C10" s="157" t="s">
        <v>758</v>
      </c>
      <c r="D10" s="157" t="s">
        <v>763</v>
      </c>
      <c r="E10" s="276" t="s">
        <v>743</v>
      </c>
      <c r="F10" s="276" t="s">
        <v>744</v>
      </c>
      <c r="G10" s="157" t="s">
        <v>239</v>
      </c>
      <c r="H10" s="157" t="s">
        <v>242</v>
      </c>
      <c r="I10" s="157" t="s">
        <v>246</v>
      </c>
      <c r="K10" s="153" t="str">
        <f t="shared" si="1"/>
        <v>Vyúčtované nákladové a výnosové úroky</v>
      </c>
    </row>
    <row r="11" spans="1:11" x14ac:dyDescent="0.3">
      <c r="A11" s="275">
        <v>10</v>
      </c>
      <c r="B11" s="157" t="s">
        <v>759</v>
      </c>
      <c r="C11" s="157" t="s">
        <v>760</v>
      </c>
      <c r="D11" s="157" t="s">
        <v>764</v>
      </c>
      <c r="E11" s="276" t="s">
        <v>743</v>
      </c>
      <c r="F11" s="276" t="s">
        <v>744</v>
      </c>
      <c r="G11" s="157" t="s">
        <v>239</v>
      </c>
      <c r="H11" s="157" t="s">
        <v>242</v>
      </c>
      <c r="I11" s="157" t="s">
        <v>247</v>
      </c>
      <c r="K11" s="153" t="str">
        <f t="shared" si="1"/>
        <v>Případné úpravy o ostatní nepeněžní operace</v>
      </c>
    </row>
    <row r="12" spans="1:11" ht="40.799999999999997" x14ac:dyDescent="0.3">
      <c r="A12" s="275">
        <v>11</v>
      </c>
      <c r="B12" s="159" t="s">
        <v>867</v>
      </c>
      <c r="C12" s="159" t="s">
        <v>767</v>
      </c>
      <c r="D12" s="159" t="s">
        <v>874</v>
      </c>
      <c r="E12" s="276" t="s">
        <v>743</v>
      </c>
      <c r="F12" s="276" t="s">
        <v>744</v>
      </c>
      <c r="G12" s="157" t="s">
        <v>807</v>
      </c>
      <c r="K12" s="153" t="str">
        <f t="shared" si="1"/>
        <v>Čistý peněžní tok z provozní činnosti
před zdaněním, změnami pracovního kapitálu a mimořádnými položkami</v>
      </c>
    </row>
    <row r="13" spans="1:11" x14ac:dyDescent="0.3">
      <c r="A13" s="275">
        <v>12</v>
      </c>
      <c r="B13" s="157" t="s">
        <v>769</v>
      </c>
      <c r="C13" s="157" t="s">
        <v>770</v>
      </c>
      <c r="D13" s="157" t="s">
        <v>771</v>
      </c>
      <c r="E13" s="276" t="s">
        <v>743</v>
      </c>
      <c r="F13" s="276" t="s">
        <v>744</v>
      </c>
      <c r="G13" s="157" t="s">
        <v>239</v>
      </c>
      <c r="H13" s="157" t="s">
        <v>243</v>
      </c>
      <c r="K13" s="153" t="str">
        <f t="shared" si="1"/>
        <v>Změna stavu nepeněžních položek pracovního kapitálu</v>
      </c>
    </row>
    <row r="14" spans="1:11" x14ac:dyDescent="0.3">
      <c r="A14" s="275">
        <v>13</v>
      </c>
      <c r="B14" s="157" t="s">
        <v>868</v>
      </c>
      <c r="C14" s="157" t="s">
        <v>772</v>
      </c>
      <c r="D14" s="157" t="s">
        <v>773</v>
      </c>
      <c r="E14" s="276" t="s">
        <v>743</v>
      </c>
      <c r="F14" s="276" t="s">
        <v>744</v>
      </c>
      <c r="G14" s="157" t="s">
        <v>239</v>
      </c>
      <c r="H14" s="157" t="s">
        <v>243</v>
      </c>
      <c r="I14" s="157" t="s">
        <v>242</v>
      </c>
      <c r="K14" s="153" t="str">
        <f t="shared" si="1"/>
        <v>Změna stavu pohledávek z provoz. činnosti a aktivních účtů čas. rozlišení</v>
      </c>
    </row>
    <row r="15" spans="1:11" x14ac:dyDescent="0.3">
      <c r="A15" s="275">
        <v>14</v>
      </c>
      <c r="B15" s="157" t="s">
        <v>869</v>
      </c>
      <c r="C15" s="157" t="s">
        <v>774</v>
      </c>
      <c r="D15" s="157" t="s">
        <v>775</v>
      </c>
      <c r="E15" s="276" t="s">
        <v>743</v>
      </c>
      <c r="F15" s="276" t="s">
        <v>744</v>
      </c>
      <c r="G15" s="157" t="s">
        <v>239</v>
      </c>
      <c r="H15" s="157" t="s">
        <v>243</v>
      </c>
      <c r="I15" s="157" t="s">
        <v>243</v>
      </c>
      <c r="K15" s="153" t="str">
        <f t="shared" si="1"/>
        <v>Změna stavu krátkodobých závazků z provoz. činnosti a pasivních účtů čas. rozlišení</v>
      </c>
    </row>
    <row r="16" spans="1:11" x14ac:dyDescent="0.3">
      <c r="A16" s="275">
        <v>15</v>
      </c>
      <c r="B16" s="157" t="s">
        <v>776</v>
      </c>
      <c r="C16" s="157" t="s">
        <v>777</v>
      </c>
      <c r="D16" s="157" t="s">
        <v>779</v>
      </c>
      <c r="E16" s="276" t="s">
        <v>743</v>
      </c>
      <c r="F16" s="276" t="s">
        <v>744</v>
      </c>
      <c r="G16" s="157" t="s">
        <v>239</v>
      </c>
      <c r="H16" s="157" t="s">
        <v>243</v>
      </c>
      <c r="I16" s="157" t="s">
        <v>244</v>
      </c>
      <c r="K16" s="153" t="str">
        <f t="shared" si="1"/>
        <v xml:space="preserve">Změna stavu zásob </v>
      </c>
    </row>
    <row r="17" spans="1:11" x14ac:dyDescent="0.3">
      <c r="A17" s="275">
        <v>16</v>
      </c>
      <c r="B17" s="157" t="s">
        <v>870</v>
      </c>
      <c r="C17" s="157" t="s">
        <v>778</v>
      </c>
      <c r="D17" s="157" t="s">
        <v>780</v>
      </c>
      <c r="E17" s="276" t="s">
        <v>743</v>
      </c>
      <c r="F17" s="276" t="s">
        <v>744</v>
      </c>
      <c r="G17" s="157" t="s">
        <v>239</v>
      </c>
      <c r="H17" s="157" t="s">
        <v>243</v>
      </c>
      <c r="I17" s="157" t="s">
        <v>245</v>
      </c>
      <c r="K17" s="153" t="str">
        <f t="shared" si="1"/>
        <v>Změna stavu krátkodobého fin. majetku, který není zahrnut do peněžních prostředků</v>
      </c>
    </row>
    <row r="18" spans="1:11" x14ac:dyDescent="0.3">
      <c r="A18" s="275">
        <v>17</v>
      </c>
      <c r="B18" s="157" t="s">
        <v>781</v>
      </c>
      <c r="C18" s="157" t="s">
        <v>782</v>
      </c>
      <c r="D18" s="157" t="s">
        <v>783</v>
      </c>
      <c r="E18" s="276" t="s">
        <v>743</v>
      </c>
      <c r="F18" s="276" t="s">
        <v>744</v>
      </c>
      <c r="G18" s="157" t="s">
        <v>806</v>
      </c>
      <c r="K18" s="153" t="str">
        <f t="shared" si="1"/>
        <v>Čistý peněžní tok z provozní činnosti před zdaněním a mimořádnými položkami</v>
      </c>
    </row>
    <row r="19" spans="1:11" x14ac:dyDescent="0.3">
      <c r="A19" s="275">
        <v>18</v>
      </c>
      <c r="B19" s="157" t="s">
        <v>784</v>
      </c>
      <c r="C19" s="157" t="s">
        <v>785</v>
      </c>
      <c r="D19" s="157" t="s">
        <v>786</v>
      </c>
      <c r="E19" s="276" t="s">
        <v>743</v>
      </c>
      <c r="F19" s="276" t="s">
        <v>744</v>
      </c>
      <c r="G19" s="157" t="s">
        <v>239</v>
      </c>
      <c r="H19" s="157" t="s">
        <v>244</v>
      </c>
      <c r="K19" s="153" t="str">
        <f t="shared" si="1"/>
        <v>Vyplacené úroky s výjimkou kapitalizovaných úroků</v>
      </c>
    </row>
    <row r="20" spans="1:11" x14ac:dyDescent="0.3">
      <c r="A20" s="275">
        <v>19</v>
      </c>
      <c r="B20" s="157" t="s">
        <v>787</v>
      </c>
      <c r="C20" s="157" t="s">
        <v>788</v>
      </c>
      <c r="D20" s="157" t="s">
        <v>789</v>
      </c>
      <c r="E20" s="276" t="s">
        <v>743</v>
      </c>
      <c r="F20" s="276" t="s">
        <v>744</v>
      </c>
      <c r="G20" s="157" t="s">
        <v>239</v>
      </c>
      <c r="H20" s="157" t="s">
        <v>245</v>
      </c>
      <c r="K20" s="153" t="str">
        <f t="shared" si="1"/>
        <v>Přijaté úroky</v>
      </c>
    </row>
    <row r="21" spans="1:11" x14ac:dyDescent="0.3">
      <c r="A21" s="275">
        <v>20</v>
      </c>
      <c r="B21" s="157" t="s">
        <v>790</v>
      </c>
      <c r="C21" s="157" t="s">
        <v>791</v>
      </c>
      <c r="D21" s="157" t="s">
        <v>792</v>
      </c>
      <c r="E21" s="276" t="s">
        <v>743</v>
      </c>
      <c r="F21" s="276" t="s">
        <v>744</v>
      </c>
      <c r="G21" s="157" t="s">
        <v>239</v>
      </c>
      <c r="H21" s="157" t="s">
        <v>246</v>
      </c>
      <c r="K21" s="153" t="str">
        <f t="shared" si="1"/>
        <v xml:space="preserve">Zaplacená daň z příjmů za běžnou činnost a doměrky daně za minulá období </v>
      </c>
    </row>
    <row r="22" spans="1:11" x14ac:dyDescent="0.3">
      <c r="A22" s="275">
        <v>21</v>
      </c>
      <c r="B22" s="157" t="s">
        <v>793</v>
      </c>
      <c r="C22" s="157" t="s">
        <v>794</v>
      </c>
      <c r="D22" s="157" t="s">
        <v>795</v>
      </c>
      <c r="E22" s="276" t="s">
        <v>743</v>
      </c>
      <c r="F22" s="276" t="s">
        <v>744</v>
      </c>
      <c r="G22" s="157" t="s">
        <v>239</v>
      </c>
      <c r="H22" s="157" t="s">
        <v>247</v>
      </c>
      <c r="K22" s="153" t="str">
        <f t="shared" si="1"/>
        <v>Příjmy a výdaje spojené s mimořádnými účetními případy</v>
      </c>
    </row>
    <row r="23" spans="1:11" x14ac:dyDescent="0.3">
      <c r="A23" s="275">
        <v>22</v>
      </c>
      <c r="B23" s="157" t="s">
        <v>796</v>
      </c>
      <c r="C23" s="157" t="s">
        <v>797</v>
      </c>
      <c r="D23" s="157" t="s">
        <v>798</v>
      </c>
      <c r="E23" s="276" t="s">
        <v>743</v>
      </c>
      <c r="F23" s="276" t="s">
        <v>744</v>
      </c>
      <c r="G23" s="157" t="s">
        <v>239</v>
      </c>
      <c r="H23" s="157" t="s">
        <v>248</v>
      </c>
      <c r="K23" s="153" t="str">
        <f t="shared" si="1"/>
        <v>Přijaté dividendy a podíly na zisku</v>
      </c>
    </row>
    <row r="24" spans="1:11" x14ac:dyDescent="0.3">
      <c r="A24" s="275">
        <v>23</v>
      </c>
      <c r="B24" s="157" t="s">
        <v>799</v>
      </c>
      <c r="C24" s="157" t="s">
        <v>800</v>
      </c>
      <c r="D24" s="157" t="s">
        <v>801</v>
      </c>
      <c r="E24" s="276" t="s">
        <v>743</v>
      </c>
      <c r="F24" s="276" t="s">
        <v>744</v>
      </c>
      <c r="G24" s="157" t="s">
        <v>802</v>
      </c>
      <c r="K24" s="153" t="str">
        <f t="shared" si="1"/>
        <v>Čistý peněžní tok z provozní činnosti</v>
      </c>
    </row>
    <row r="25" spans="1:11" x14ac:dyDescent="0.3">
      <c r="A25" s="275">
        <v>24</v>
      </c>
      <c r="B25" s="157" t="s">
        <v>854</v>
      </c>
      <c r="C25" s="157" t="s">
        <v>855</v>
      </c>
      <c r="D25" s="157" t="s">
        <v>856</v>
      </c>
      <c r="E25" s="276" t="s">
        <v>743</v>
      </c>
      <c r="F25" s="276" t="s">
        <v>804</v>
      </c>
      <c r="G25" s="276" t="s">
        <v>240</v>
      </c>
      <c r="H25" s="276" t="s">
        <v>242</v>
      </c>
      <c r="K25" s="153" t="str">
        <f t="shared" si="1"/>
        <v>PENĚŽNÍ TOKY S INVESTIČNÍ ČINNOSTI</v>
      </c>
    </row>
    <row r="26" spans="1:11" x14ac:dyDescent="0.3">
      <c r="A26" s="275">
        <v>25</v>
      </c>
      <c r="B26" s="157" t="s">
        <v>871</v>
      </c>
      <c r="C26" s="157" t="s">
        <v>808</v>
      </c>
      <c r="D26" s="157" t="s">
        <v>809</v>
      </c>
      <c r="E26" s="276" t="s">
        <v>743</v>
      </c>
      <c r="F26" s="276" t="s">
        <v>804</v>
      </c>
      <c r="G26" s="276" t="s">
        <v>240</v>
      </c>
      <c r="H26" s="276" t="s">
        <v>242</v>
      </c>
      <c r="K26" s="153" t="str">
        <f t="shared" si="1"/>
        <v>Výdaje spojené s nabytím stálých aktiv</v>
      </c>
    </row>
    <row r="27" spans="1:11" x14ac:dyDescent="0.3">
      <c r="A27" s="275">
        <v>26</v>
      </c>
      <c r="B27" s="157" t="s">
        <v>810</v>
      </c>
      <c r="C27" s="157" t="s">
        <v>814</v>
      </c>
      <c r="D27" s="157" t="s">
        <v>817</v>
      </c>
      <c r="E27" s="276" t="s">
        <v>743</v>
      </c>
      <c r="F27" s="276" t="s">
        <v>804</v>
      </c>
      <c r="G27" s="276" t="s">
        <v>240</v>
      </c>
      <c r="H27" s="157" t="s">
        <v>243</v>
      </c>
      <c r="K27" s="153" t="str">
        <f t="shared" si="1"/>
        <v>Příjmy z prodeje stálých aktiv</v>
      </c>
    </row>
    <row r="28" spans="1:11" x14ac:dyDescent="0.3">
      <c r="A28" s="275">
        <v>27</v>
      </c>
      <c r="B28" s="157" t="s">
        <v>812</v>
      </c>
      <c r="C28" s="157" t="s">
        <v>815</v>
      </c>
      <c r="D28" s="157" t="s">
        <v>818</v>
      </c>
      <c r="E28" s="276" t="s">
        <v>743</v>
      </c>
      <c r="F28" s="276" t="s">
        <v>804</v>
      </c>
      <c r="G28" s="276" t="s">
        <v>240</v>
      </c>
      <c r="H28" s="157" t="s">
        <v>244</v>
      </c>
      <c r="K28" s="153" t="str">
        <f t="shared" si="1"/>
        <v>Půjčky a úvěry spřízněným osobám</v>
      </c>
    </row>
    <row r="29" spans="1:11" x14ac:dyDescent="0.3">
      <c r="A29" s="275">
        <v>28</v>
      </c>
      <c r="B29" s="157" t="s">
        <v>813</v>
      </c>
      <c r="C29" s="157" t="s">
        <v>816</v>
      </c>
      <c r="D29" s="157" t="s">
        <v>803</v>
      </c>
      <c r="E29" s="276" t="s">
        <v>743</v>
      </c>
      <c r="F29" s="276" t="s">
        <v>804</v>
      </c>
      <c r="G29" s="276" t="s">
        <v>805</v>
      </c>
      <c r="K29" s="153" t="str">
        <f t="shared" si="1"/>
        <v>Čistý peněžní tok vztahující se k investiční činnosti</v>
      </c>
    </row>
    <row r="30" spans="1:11" x14ac:dyDescent="0.3">
      <c r="A30" s="275">
        <v>29</v>
      </c>
      <c r="B30" s="157" t="s">
        <v>857</v>
      </c>
      <c r="C30" s="157" t="s">
        <v>858</v>
      </c>
      <c r="D30" s="157" t="s">
        <v>859</v>
      </c>
      <c r="E30" s="276" t="s">
        <v>743</v>
      </c>
      <c r="F30" s="276" t="s">
        <v>820</v>
      </c>
      <c r="K30" s="153" t="str">
        <f t="shared" si="1"/>
        <v>PENĚŽNÍ TOKY Z FINANČNÍCH ČINNOSTÍ</v>
      </c>
    </row>
    <row r="31" spans="1:11" x14ac:dyDescent="0.3">
      <c r="A31" s="275">
        <v>30</v>
      </c>
      <c r="B31" s="157" t="s">
        <v>873</v>
      </c>
      <c r="C31" s="157" t="s">
        <v>833</v>
      </c>
      <c r="D31" s="157" t="s">
        <v>844</v>
      </c>
      <c r="E31" s="276" t="s">
        <v>743</v>
      </c>
      <c r="F31" s="276" t="s">
        <v>820</v>
      </c>
      <c r="G31" s="157" t="s">
        <v>265</v>
      </c>
      <c r="H31" s="157" t="s">
        <v>242</v>
      </c>
      <c r="K31" s="153" t="str">
        <f t="shared" si="1"/>
        <v>Dopady změn dlouhodobých, popř. krátkodobých závazků z finanční oblasti</v>
      </c>
    </row>
    <row r="32" spans="1:11" x14ac:dyDescent="0.3">
      <c r="A32" s="275">
        <v>31</v>
      </c>
      <c r="B32" s="157" t="s">
        <v>823</v>
      </c>
      <c r="C32" s="157" t="s">
        <v>834</v>
      </c>
      <c r="D32" s="157" t="s">
        <v>845</v>
      </c>
      <c r="E32" s="276" t="s">
        <v>743</v>
      </c>
      <c r="F32" s="276" t="s">
        <v>820</v>
      </c>
      <c r="G32" s="157" t="s">
        <v>265</v>
      </c>
      <c r="H32" s="157" t="s">
        <v>243</v>
      </c>
      <c r="K32" s="153" t="str">
        <f t="shared" si="1"/>
        <v>Dopady změn vlastního kapitálu na peněžní prostředky</v>
      </c>
    </row>
    <row r="33" spans="1:11" x14ac:dyDescent="0.3">
      <c r="A33" s="275">
        <v>32</v>
      </c>
      <c r="B33" s="157" t="s">
        <v>824</v>
      </c>
      <c r="C33" s="157" t="s">
        <v>835</v>
      </c>
      <c r="D33" s="157" t="s">
        <v>846</v>
      </c>
      <c r="E33" s="276" t="s">
        <v>743</v>
      </c>
      <c r="F33" s="276" t="s">
        <v>820</v>
      </c>
      <c r="G33" s="157" t="s">
        <v>265</v>
      </c>
      <c r="H33" s="157" t="s">
        <v>243</v>
      </c>
      <c r="I33" s="157" t="s">
        <v>242</v>
      </c>
      <c r="K33" s="153" t="str">
        <f t="shared" si="1"/>
        <v>Zvýšení základního kapitálu, emisního ážia  event. rezervního fondu</v>
      </c>
    </row>
    <row r="34" spans="1:11" x14ac:dyDescent="0.3">
      <c r="A34" s="275">
        <v>33</v>
      </c>
      <c r="B34" s="157" t="s">
        <v>825</v>
      </c>
      <c r="C34" s="157" t="s">
        <v>836</v>
      </c>
      <c r="D34" s="157" t="s">
        <v>847</v>
      </c>
      <c r="E34" s="276" t="s">
        <v>743</v>
      </c>
      <c r="F34" s="276" t="s">
        <v>820</v>
      </c>
      <c r="G34" s="157" t="s">
        <v>265</v>
      </c>
      <c r="H34" s="157" t="s">
        <v>243</v>
      </c>
      <c r="I34" s="157" t="s">
        <v>243</v>
      </c>
      <c r="K34" s="153" t="str">
        <f t="shared" si="1"/>
        <v>Vyplacení podílu na vlastním kapitálu společníkům</v>
      </c>
    </row>
    <row r="35" spans="1:11" x14ac:dyDescent="0.3">
      <c r="A35" s="275">
        <v>34</v>
      </c>
      <c r="B35" s="157" t="s">
        <v>826</v>
      </c>
      <c r="C35" s="157" t="s">
        <v>837</v>
      </c>
      <c r="D35" s="157" t="s">
        <v>848</v>
      </c>
      <c r="E35" s="276" t="s">
        <v>743</v>
      </c>
      <c r="F35" s="276" t="s">
        <v>820</v>
      </c>
      <c r="G35" s="157" t="s">
        <v>265</v>
      </c>
      <c r="H35" s="157" t="s">
        <v>243</v>
      </c>
      <c r="I35" s="157" t="s">
        <v>244</v>
      </c>
      <c r="K35" s="153" t="str">
        <f t="shared" si="1"/>
        <v xml:space="preserve">Další vklady peněžních prostředků společníků a akcionářů </v>
      </c>
    </row>
    <row r="36" spans="1:11" x14ac:dyDescent="0.3">
      <c r="A36" s="275">
        <v>35</v>
      </c>
      <c r="B36" s="157" t="s">
        <v>827</v>
      </c>
      <c r="C36" s="157" t="s">
        <v>838</v>
      </c>
      <c r="D36" s="157" t="s">
        <v>849</v>
      </c>
      <c r="E36" s="276" t="s">
        <v>743</v>
      </c>
      <c r="F36" s="276" t="s">
        <v>820</v>
      </c>
      <c r="G36" s="157" t="s">
        <v>265</v>
      </c>
      <c r="H36" s="157" t="s">
        <v>243</v>
      </c>
      <c r="I36" s="157" t="s">
        <v>245</v>
      </c>
      <c r="K36" s="153" t="str">
        <f t="shared" si="1"/>
        <v>Úhrada ztráty společníky</v>
      </c>
    </row>
    <row r="37" spans="1:11" x14ac:dyDescent="0.3">
      <c r="A37" s="275">
        <v>36</v>
      </c>
      <c r="B37" s="157" t="s">
        <v>828</v>
      </c>
      <c r="C37" s="157" t="s">
        <v>839</v>
      </c>
      <c r="D37" s="157" t="s">
        <v>850</v>
      </c>
      <c r="E37" s="276" t="s">
        <v>743</v>
      </c>
      <c r="F37" s="276" t="s">
        <v>820</v>
      </c>
      <c r="G37" s="157" t="s">
        <v>265</v>
      </c>
      <c r="H37" s="157" t="s">
        <v>243</v>
      </c>
      <c r="I37" s="157" t="s">
        <v>246</v>
      </c>
      <c r="K37" s="153" t="str">
        <f t="shared" si="1"/>
        <v>Přímé platby na vrub fondů</v>
      </c>
    </row>
    <row r="38" spans="1:11" x14ac:dyDescent="0.3">
      <c r="A38" s="275">
        <v>37</v>
      </c>
      <c r="B38" s="157" t="s">
        <v>829</v>
      </c>
      <c r="C38" s="157" t="s">
        <v>840</v>
      </c>
      <c r="D38" s="157" t="s">
        <v>851</v>
      </c>
      <c r="E38" s="276" t="s">
        <v>743</v>
      </c>
      <c r="F38" s="276" t="s">
        <v>820</v>
      </c>
      <c r="G38" s="157" t="s">
        <v>265</v>
      </c>
      <c r="H38" s="157" t="s">
        <v>243</v>
      </c>
      <c r="I38" s="157" t="s">
        <v>247</v>
      </c>
      <c r="K38" s="153" t="str">
        <f t="shared" si="1"/>
        <v>Vyplacené dividendy nebo podíly na zisku včetně zaplacené srážkové daně a tantiémy</v>
      </c>
    </row>
    <row r="39" spans="1:11" x14ac:dyDescent="0.3">
      <c r="A39" s="275">
        <v>38</v>
      </c>
      <c r="B39" s="157" t="s">
        <v>830</v>
      </c>
      <c r="C39" s="157" t="s">
        <v>841</v>
      </c>
      <c r="D39" s="157" t="s">
        <v>819</v>
      </c>
      <c r="E39" s="276" t="s">
        <v>743</v>
      </c>
      <c r="F39" s="276" t="s">
        <v>820</v>
      </c>
      <c r="G39" s="157" t="s">
        <v>821</v>
      </c>
      <c r="K39" s="153" t="str">
        <f t="shared" si="1"/>
        <v>Čistý peněžní tok vztahující se k finanční činnosti</v>
      </c>
    </row>
    <row r="40" spans="1:11" x14ac:dyDescent="0.3">
      <c r="A40" s="275">
        <v>39</v>
      </c>
      <c r="B40" s="157" t="s">
        <v>831</v>
      </c>
      <c r="C40" s="157" t="s">
        <v>842</v>
      </c>
      <c r="D40" s="157" t="s">
        <v>852</v>
      </c>
      <c r="E40" s="276" t="s">
        <v>743</v>
      </c>
      <c r="F40" s="276" t="s">
        <v>661</v>
      </c>
      <c r="G40" s="157" t="s">
        <v>312</v>
      </c>
      <c r="K40" s="153" t="str">
        <f t="shared" si="1"/>
        <v>Čisté zvýšení nebo snížení peněžních prostředků</v>
      </c>
    </row>
    <row r="41" spans="1:11" x14ac:dyDescent="0.3">
      <c r="A41" s="275">
        <v>40</v>
      </c>
      <c r="B41" s="157" t="s">
        <v>832</v>
      </c>
      <c r="C41" s="157" t="s">
        <v>843</v>
      </c>
      <c r="D41" s="157" t="s">
        <v>853</v>
      </c>
      <c r="E41" s="276" t="s">
        <v>743</v>
      </c>
      <c r="F41" s="276" t="s">
        <v>822</v>
      </c>
      <c r="G41" s="157" t="s">
        <v>334</v>
      </c>
      <c r="K41" s="153" t="str">
        <f t="shared" si="1"/>
        <v>Stav peněžních prostředků a peněžních ekvivalentů na konci účetního období</v>
      </c>
    </row>
  </sheetData>
  <pageMargins left="0.7" right="0.7" top="0.78740157499999996" bottom="0.78740157499999996" header="0.3" footer="0.3"/>
  <pageSetup orientation="portrait" horizontalDpi="4294967294" verticalDpi="30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2">
    <tabColor theme="5"/>
    <pageSetUpPr fitToPage="1"/>
  </sheetPr>
  <dimension ref="A1:N36"/>
  <sheetViews>
    <sheetView showGridLines="0" tabSelected="1" zoomScaleNormal="100" workbookViewId="0">
      <selection activeCell="E13" sqref="E13"/>
    </sheetView>
  </sheetViews>
  <sheetFormatPr defaultColWidth="0" defaultRowHeight="13.8" zeroHeight="1" x14ac:dyDescent="0.3"/>
  <cols>
    <col min="1" max="1" width="3.6640625" style="11" customWidth="1"/>
    <col min="2" max="2" width="25.44140625" style="11" customWidth="1"/>
    <col min="3" max="5" width="20.6640625" style="11" customWidth="1"/>
    <col min="6" max="6" width="3.109375" style="11" customWidth="1"/>
    <col min="7" max="7" width="4.6640625" style="11" customWidth="1"/>
    <col min="8" max="8" width="3.6640625" style="11" customWidth="1"/>
    <col min="9" max="9" width="8" style="11" hidden="1" customWidth="1"/>
    <col min="10" max="10" width="12.5546875" style="11" hidden="1" customWidth="1"/>
    <col min="11" max="11" width="18.109375" style="11" hidden="1" customWidth="1"/>
    <col min="12" max="12" width="24.6640625" style="11" hidden="1" customWidth="1"/>
    <col min="13" max="14" width="12.5546875" style="11" hidden="1" customWidth="1"/>
    <col min="15" max="16384" width="9.109375" style="11" hidden="1"/>
  </cols>
  <sheetData>
    <row r="1" spans="1:7" x14ac:dyDescent="0.3"/>
    <row r="2" spans="1:7" s="288" customFormat="1" ht="15.6" x14ac:dyDescent="0.3">
      <c r="B2" s="289" t="s">
        <v>287</v>
      </c>
      <c r="C2" s="289" t="s">
        <v>1280</v>
      </c>
    </row>
    <row r="3" spans="1:7" x14ac:dyDescent="0.3"/>
    <row r="4" spans="1:7" x14ac:dyDescent="0.3">
      <c r="B4" s="226" t="s">
        <v>286</v>
      </c>
      <c r="C4" s="654"/>
      <c r="E4" s="51"/>
      <c r="F4" s="51"/>
      <c r="G4" s="51"/>
    </row>
    <row r="5" spans="1:7" x14ac:dyDescent="0.3">
      <c r="B5" s="226"/>
      <c r="D5" s="51"/>
      <c r="E5" s="51"/>
      <c r="F5" s="51"/>
      <c r="G5" s="51"/>
    </row>
    <row r="6" spans="1:7" x14ac:dyDescent="0.3">
      <c r="B6" s="226" t="s">
        <v>343</v>
      </c>
      <c r="C6" s="769"/>
      <c r="D6" s="769"/>
      <c r="E6" s="769"/>
    </row>
    <row r="7" spans="1:7" x14ac:dyDescent="0.3">
      <c r="B7" s="226"/>
      <c r="D7" s="51"/>
      <c r="E7" s="51"/>
      <c r="F7" s="51"/>
      <c r="G7" s="51"/>
    </row>
    <row r="8" spans="1:7" x14ac:dyDescent="0.3">
      <c r="B8" s="226" t="s">
        <v>888</v>
      </c>
      <c r="C8" s="769"/>
      <c r="D8" s="769"/>
      <c r="E8" s="769"/>
    </row>
    <row r="9" spans="1:7" x14ac:dyDescent="0.3"/>
    <row r="10" spans="1:7" x14ac:dyDescent="0.3">
      <c r="D10" s="326" t="s">
        <v>345</v>
      </c>
      <c r="E10" s="326" t="s">
        <v>346</v>
      </c>
    </row>
    <row r="11" spans="1:7" s="24" customFormat="1" x14ac:dyDescent="0.3">
      <c r="A11" s="11"/>
      <c r="B11" s="226" t="s">
        <v>344</v>
      </c>
      <c r="C11" s="327"/>
      <c r="D11" s="655">
        <v>46022</v>
      </c>
      <c r="E11" s="656">
        <v>45657</v>
      </c>
    </row>
    <row r="12" spans="1:7" x14ac:dyDescent="0.3">
      <c r="G12" s="767" t="s">
        <v>620</v>
      </c>
    </row>
    <row r="13" spans="1:7" x14ac:dyDescent="0.3">
      <c r="B13" s="226" t="s">
        <v>892</v>
      </c>
      <c r="C13" s="28" t="s">
        <v>921</v>
      </c>
      <c r="D13" s="28"/>
      <c r="E13" s="657">
        <v>6</v>
      </c>
      <c r="G13" s="768"/>
    </row>
    <row r="14" spans="1:7" x14ac:dyDescent="0.3">
      <c r="C14" s="28"/>
      <c r="D14" s="28"/>
      <c r="G14" s="768"/>
    </row>
    <row r="15" spans="1:7" x14ac:dyDescent="0.3">
      <c r="B15" s="226" t="s">
        <v>548</v>
      </c>
      <c r="C15" s="28" t="s">
        <v>922</v>
      </c>
      <c r="D15" s="28"/>
      <c r="E15" s="658" t="s">
        <v>1226</v>
      </c>
      <c r="F15" s="280">
        <f>IF(E15="tisíce",1000,IF(E15="miliony",1000000,1))</f>
        <v>1000</v>
      </c>
      <c r="G15" s="768"/>
    </row>
    <row r="16" spans="1:7" x14ac:dyDescent="0.3">
      <c r="C16" s="28"/>
      <c r="D16" s="28"/>
      <c r="G16" s="768"/>
    </row>
    <row r="17" spans="1:13" x14ac:dyDescent="0.3">
      <c r="B17" s="226" t="s">
        <v>549</v>
      </c>
      <c r="C17" s="28" t="s">
        <v>889</v>
      </c>
      <c r="D17" s="28"/>
      <c r="E17" s="658" t="s">
        <v>1222</v>
      </c>
      <c r="G17" s="768"/>
      <c r="I17" s="11">
        <v>1</v>
      </c>
      <c r="J17" s="11" t="str">
        <f>IF(jazyk="česky",K17,IF(jazyk="anglicky",L17,IF(jazyk="německy",M17,"-")))</f>
        <v>v celých Kč</v>
      </c>
      <c r="K17" s="28" t="s">
        <v>506</v>
      </c>
      <c r="L17" s="28" t="s">
        <v>509</v>
      </c>
      <c r="M17" s="28" t="s">
        <v>511</v>
      </c>
    </row>
    <row r="18" spans="1:13" x14ac:dyDescent="0.3">
      <c r="I18" s="11">
        <v>1000</v>
      </c>
      <c r="J18" s="11" t="str">
        <f>IF(jazyk="česky",K18,IF(jazyk="anglicky",L18,IF(jazyk="německy",M18,"-")))</f>
        <v>v celých tisících Kč</v>
      </c>
      <c r="K18" s="28" t="s">
        <v>507</v>
      </c>
      <c r="L18" s="28" t="s">
        <v>508</v>
      </c>
      <c r="M18" s="28" t="s">
        <v>510</v>
      </c>
    </row>
    <row r="19" spans="1:13" s="1" customFormat="1" ht="10.199999999999999" x14ac:dyDescent="0.2">
      <c r="A19" s="290"/>
      <c r="B19" s="290"/>
      <c r="C19" s="290"/>
      <c r="D19" s="303"/>
      <c r="E19" s="303"/>
      <c r="F19" s="290"/>
      <c r="G19" s="290"/>
      <c r="H19" s="290"/>
    </row>
    <row r="20" spans="1:13" ht="20.399999999999999" x14ac:dyDescent="0.3">
      <c r="A20" s="291"/>
      <c r="B20" s="294" t="s">
        <v>587</v>
      </c>
      <c r="C20" s="294"/>
      <c r="D20" s="295" t="s">
        <v>887</v>
      </c>
      <c r="E20" s="296" t="str">
        <f>IF(OR(ISNUMBER(D21),ISNUMBER(D22)),"označení chyb ve sloupci R, list DATA","")</f>
        <v>označení chyb ve sloupci R, list DATA</v>
      </c>
      <c r="F20" s="29"/>
      <c r="G20" s="29"/>
      <c r="H20" s="291"/>
    </row>
    <row r="21" spans="1:13" x14ac:dyDescent="0.3">
      <c r="A21" s="29"/>
      <c r="B21" s="299" t="s">
        <v>585</v>
      </c>
      <c r="C21" s="299"/>
      <c r="D21" s="308">
        <f>IF(COUNTIFS(DATA!O:O,"účet n/a")&gt;0,COUNTIFS(DATA!O:O,"účet n/a"),0)</f>
        <v>0</v>
      </c>
      <c r="E21" s="309" t="str">
        <f>IF(D21=0,"-"," ")</f>
        <v>-</v>
      </c>
      <c r="F21" s="307" t="str">
        <f>IF(D21=0,"ok","!")</f>
        <v>ok</v>
      </c>
      <c r="G21" s="29"/>
      <c r="H21" s="29"/>
    </row>
    <row r="22" spans="1:13" x14ac:dyDescent="0.3">
      <c r="A22" s="29"/>
      <c r="B22" s="310" t="s">
        <v>586</v>
      </c>
      <c r="C22" s="310"/>
      <c r="D22" s="312">
        <f>IF(COUNTIFS(DATA!O:O,"doplnit",DATA!S:S,"-")&gt;0,COUNTIFS(DATA!O:O,"doplnit",DATA!S:S,"-"),0)</f>
        <v>0</v>
      </c>
      <c r="E22" s="313" t="str">
        <f>IF(D22=0,"-"," ")</f>
        <v>-</v>
      </c>
      <c r="F22" s="314" t="str">
        <f>IF(D22=0,"ok","!")</f>
        <v>ok</v>
      </c>
      <c r="G22" s="29"/>
      <c r="H22" s="29"/>
    </row>
    <row r="23" spans="1:13" s="281" customFormat="1" ht="10.199999999999999" x14ac:dyDescent="0.3">
      <c r="A23" s="290"/>
      <c r="B23" s="304"/>
      <c r="C23" s="304"/>
      <c r="D23" s="305"/>
      <c r="E23" s="305"/>
      <c r="F23" s="290"/>
      <c r="G23" s="290"/>
      <c r="H23" s="290"/>
    </row>
    <row r="24" spans="1:13" ht="15.6" x14ac:dyDescent="0.3">
      <c r="A24" s="29"/>
      <c r="B24" s="298" t="s">
        <v>919</v>
      </c>
      <c r="C24" s="298"/>
      <c r="D24" s="297" t="str">
        <f>D10</f>
        <v>Běžné</v>
      </c>
      <c r="E24" s="297" t="str">
        <f>E10</f>
        <v>Minulé</v>
      </c>
      <c r="F24" s="29"/>
      <c r="G24" s="29"/>
      <c r="H24" s="29"/>
    </row>
    <row r="25" spans="1:13" x14ac:dyDescent="0.3">
      <c r="A25" s="29"/>
      <c r="B25" s="302" t="s">
        <v>920</v>
      </c>
      <c r="C25" s="302"/>
      <c r="D25" s="311">
        <f>VYSLEDOVKA!P7</f>
        <v>0</v>
      </c>
      <c r="E25" s="311">
        <f>VYSLEDOVKA!Q7</f>
        <v>0</v>
      </c>
      <c r="F25" s="315" t="str">
        <f>IF(D25+E25=0,"ok","!")</f>
        <v>ok</v>
      </c>
      <c r="G25" s="29"/>
      <c r="H25" s="29"/>
    </row>
    <row r="26" spans="1:13" x14ac:dyDescent="0.3">
      <c r="A26" s="29"/>
      <c r="B26" s="299" t="s">
        <v>339</v>
      </c>
      <c r="C26" s="299"/>
      <c r="D26" s="293">
        <f>AKTIVA!S7</f>
        <v>0</v>
      </c>
      <c r="E26" s="293">
        <f>AKTIVA!T7</f>
        <v>0</v>
      </c>
      <c r="F26" s="307" t="str">
        <f t="shared" ref="F26:F27" si="0">IF(D26+E26=0,"ok","!")</f>
        <v>ok</v>
      </c>
      <c r="G26" s="29"/>
      <c r="H26" s="29"/>
    </row>
    <row r="27" spans="1:13" x14ac:dyDescent="0.3">
      <c r="A27" s="29"/>
      <c r="B27" s="302" t="s">
        <v>340</v>
      </c>
      <c r="C27" s="302"/>
      <c r="D27" s="311">
        <f>PASIVA!P7</f>
        <v>0</v>
      </c>
      <c r="E27" s="311">
        <f>PASIVA!Q7</f>
        <v>0</v>
      </c>
      <c r="F27" s="315" t="str">
        <f t="shared" si="0"/>
        <v>ok</v>
      </c>
      <c r="G27" s="29"/>
      <c r="H27" s="29"/>
    </row>
    <row r="28" spans="1:13" x14ac:dyDescent="0.3">
      <c r="A28" s="29"/>
      <c r="B28" s="292"/>
      <c r="C28" s="292"/>
      <c r="D28" s="293"/>
      <c r="E28" s="293"/>
      <c r="F28" s="29"/>
      <c r="G28" s="29"/>
      <c r="H28" s="29"/>
    </row>
    <row r="29" spans="1:13" ht="15.6" x14ac:dyDescent="0.3">
      <c r="A29" s="29"/>
      <c r="B29" s="298" t="s">
        <v>588</v>
      </c>
      <c r="C29" s="298"/>
      <c r="D29" s="297" t="str">
        <f>D10</f>
        <v>Běžné</v>
      </c>
      <c r="E29" s="297" t="str">
        <f>E10</f>
        <v>Minulé</v>
      </c>
      <c r="F29" s="29"/>
      <c r="G29" s="29"/>
      <c r="H29" s="29"/>
    </row>
    <row r="30" spans="1:13" x14ac:dyDescent="0.3">
      <c r="A30" s="29"/>
      <c r="B30" s="301" t="s">
        <v>341</v>
      </c>
      <c r="C30" s="301"/>
      <c r="D30" s="293">
        <f>VYSLEDOVKA!M62</f>
        <v>0</v>
      </c>
      <c r="E30" s="293">
        <f>VYSLEDOVKA!N62</f>
        <v>0</v>
      </c>
      <c r="F30" s="29"/>
      <c r="G30" s="29"/>
      <c r="H30" s="29"/>
    </row>
    <row r="31" spans="1:13" x14ac:dyDescent="0.3">
      <c r="A31" s="29"/>
      <c r="B31" s="299" t="s">
        <v>342</v>
      </c>
      <c r="C31" s="299"/>
      <c r="D31" s="293">
        <f>PASIVA!M28</f>
        <v>0</v>
      </c>
      <c r="E31" s="293">
        <f>PASIVA!N28</f>
        <v>0</v>
      </c>
      <c r="F31" s="29"/>
      <c r="G31" s="29"/>
      <c r="H31" s="29"/>
    </row>
    <row r="32" spans="1:13" x14ac:dyDescent="0.3">
      <c r="A32" s="29"/>
      <c r="B32" s="310" t="s">
        <v>890</v>
      </c>
      <c r="C32" s="310"/>
      <c r="D32" s="311">
        <f>ROUND(D30-D31,2)</f>
        <v>0</v>
      </c>
      <c r="E32" s="311">
        <f>ROUND(E30-E31,2)</f>
        <v>0</v>
      </c>
      <c r="F32" s="314" t="str">
        <f>IF(D32+E32=0,"ok","!")</f>
        <v>ok</v>
      </c>
      <c r="G32" s="29"/>
      <c r="H32" s="29"/>
    </row>
    <row r="33" spans="1:8" x14ac:dyDescent="0.3">
      <c r="A33" s="29"/>
      <c r="B33" s="299" t="s">
        <v>339</v>
      </c>
      <c r="C33" s="299"/>
      <c r="D33" s="293">
        <f>AKTIVA!P8</f>
        <v>0</v>
      </c>
      <c r="E33" s="293">
        <f>AKTIVA!Q8</f>
        <v>0</v>
      </c>
      <c r="F33" s="29"/>
      <c r="G33" s="29"/>
      <c r="H33" s="29"/>
    </row>
    <row r="34" spans="1:8" x14ac:dyDescent="0.3">
      <c r="A34" s="29"/>
      <c r="B34" s="300" t="s">
        <v>340</v>
      </c>
      <c r="C34" s="300"/>
      <c r="D34" s="293">
        <f>PASIVA!M8</f>
        <v>0</v>
      </c>
      <c r="E34" s="293">
        <f>PASIVA!N8</f>
        <v>0</v>
      </c>
      <c r="F34" s="29"/>
      <c r="G34" s="29"/>
      <c r="H34" s="29"/>
    </row>
    <row r="35" spans="1:8" x14ac:dyDescent="0.3">
      <c r="A35" s="29"/>
      <c r="B35" s="310" t="s">
        <v>891</v>
      </c>
      <c r="C35" s="310"/>
      <c r="D35" s="311">
        <f>ROUND(D33-D34,2)</f>
        <v>0</v>
      </c>
      <c r="E35" s="311">
        <f>ROUND(E33-E34,2)</f>
        <v>0</v>
      </c>
      <c r="F35" s="314" t="str">
        <f>IF(D35+E35=0,"ok","!")</f>
        <v>ok</v>
      </c>
      <c r="G35" s="29"/>
      <c r="H35" s="29"/>
    </row>
    <row r="36" spans="1:8" s="281" customFormat="1" ht="10.199999999999999" x14ac:dyDescent="0.3">
      <c r="A36" s="290"/>
      <c r="B36" s="306"/>
      <c r="C36" s="306"/>
      <c r="D36" s="306"/>
      <c r="E36" s="306"/>
      <c r="F36" s="290"/>
      <c r="G36" s="290"/>
      <c r="H36" s="290"/>
    </row>
  </sheetData>
  <sheetProtection algorithmName="SHA-512" hashValue="se1r3Qt4rpcUb4cQovO61Db0OTF54X8B1oQ1fLUXGhB64rUW3WZB3fv4ANk4Js6mkheIPYoSgwUKO/JIoG3xKg==" saltValue="zUgVaUOYxdyrYbV8i79usw==" spinCount="100000" sheet="1" objects="1" scenarios="1" selectLockedCells="1"/>
  <mergeCells count="3">
    <mergeCell ref="G12:G17"/>
    <mergeCell ref="C6:E6"/>
    <mergeCell ref="C8:E8"/>
  </mergeCells>
  <conditionalFormatting sqref="C4 C6:E6 C8:E8 D11:E11 E13 E15 E17">
    <cfRule type="containsBlanks" dxfId="146" priority="22">
      <formula>LEN(TRIM(C4))=0</formula>
    </cfRule>
  </conditionalFormatting>
  <conditionalFormatting sqref="D21:D22">
    <cfRule type="expression" dxfId="145" priority="4">
      <formula>$F21="ok"</formula>
    </cfRule>
    <cfRule type="expression" dxfId="144" priority="5">
      <formula>$F21="!"</formula>
    </cfRule>
  </conditionalFormatting>
  <conditionalFormatting sqref="D25:E27 D32:E32 D35:E35">
    <cfRule type="cellIs" dxfId="143" priority="20" operator="notEqual">
      <formula>0</formula>
    </cfRule>
    <cfRule type="cellIs" dxfId="142" priority="21" operator="equal">
      <formula>0</formula>
    </cfRule>
  </conditionalFormatting>
  <conditionalFormatting sqref="E21">
    <cfRule type="cellIs" dxfId="141" priority="19" operator="equal">
      <formula>" "</formula>
    </cfRule>
  </conditionalFormatting>
  <conditionalFormatting sqref="E22">
    <cfRule type="cellIs" dxfId="140" priority="18" operator="equal">
      <formula>" "</formula>
    </cfRule>
  </conditionalFormatting>
  <conditionalFormatting sqref="F21:F22 F25:F27 F32 F35">
    <cfRule type="containsText" dxfId="139" priority="7" operator="containsText" text="!">
      <formula>NOT(ISERROR(SEARCH("!",F21)))</formula>
    </cfRule>
    <cfRule type="containsText" dxfId="138" priority="8" operator="containsText" text="ok">
      <formula>NOT(ISERROR(SEARCH("ok",F21)))</formula>
    </cfRule>
  </conditionalFormatting>
  <dataValidations count="2">
    <dataValidation type="list" allowBlank="1" showInputMessage="1" showErrorMessage="1" sqref="E15" xr:uid="{00000000-0002-0000-0100-000000000000}">
      <formula1>"jednotky,tisíce,miliony"</formula1>
    </dataValidation>
    <dataValidation type="list" allowBlank="1" showInputMessage="1" showErrorMessage="1" sqref="E17" xr:uid="{00000000-0002-0000-0100-000001000000}">
      <formula1>"česky"</formula1>
    </dataValidation>
  </dataValidations>
  <pageMargins left="0.39370078740157483" right="0.39370078740157483" top="0.39370078740157483" bottom="0.39370078740157483" header="0" footer="0"/>
  <pageSetup paperSize="9" scale="98" orientation="portrait" r:id="rId1"/>
  <headerFooter scaleWithDoc="0">
    <oddFooter>&amp;L&amp;G&amp;C&amp;"-,Obyčejné"&amp;8&amp;K00-049Tisk: &amp;D &amp;T&amp;R&amp;"-,Obyčejné"&amp;8&amp;K00-049&amp;F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3">
    <tabColor theme="4"/>
    <outlinePr summaryBelow="0" summaryRight="0"/>
    <pageSetUpPr fitToPage="1"/>
  </sheetPr>
  <dimension ref="B1:AA200"/>
  <sheetViews>
    <sheetView showGridLines="0" workbookViewId="0">
      <pane ySplit="1" topLeftCell="A2" activePane="bottomLeft" state="frozen"/>
      <selection activeCell="B3" sqref="B3"/>
      <selection pane="bottomLeft" activeCell="M10" sqref="M10"/>
    </sheetView>
  </sheetViews>
  <sheetFormatPr defaultColWidth="9.109375" defaultRowHeight="13.8" outlineLevelCol="1" x14ac:dyDescent="0.3"/>
  <cols>
    <col min="1" max="1" width="1.6640625" customWidth="1"/>
    <col min="2" max="2" width="6.5546875" style="33" customWidth="1"/>
    <col min="3" max="3" width="8.6640625" style="33" customWidth="1"/>
    <col min="4" max="4" width="6.33203125" style="33" customWidth="1"/>
    <col min="5" max="5" width="26.5546875" style="33" customWidth="1"/>
    <col min="6" max="6" width="12.6640625" style="34" customWidth="1"/>
    <col min="7" max="7" width="9.5546875" style="34" customWidth="1"/>
    <col min="8" max="8" width="9.6640625" style="34" customWidth="1"/>
    <col min="9" max="9" width="13.109375" style="35" customWidth="1" collapsed="1"/>
    <col min="10" max="10" width="41.33203125" style="316" hidden="1" customWidth="1" outlineLevel="1"/>
    <col min="11" max="11" width="6.6640625" style="317" customWidth="1" collapsed="1"/>
    <col min="12" max="12" width="54.6640625" style="318" hidden="1" customWidth="1" outlineLevel="1"/>
    <col min="13" max="13" width="8.5546875" style="316" customWidth="1"/>
    <col min="14" max="14" width="8.6640625" style="316" customWidth="1"/>
    <col min="15" max="15" width="7" style="317" customWidth="1" collapsed="1"/>
    <col min="16" max="16" width="7.5546875" style="317" hidden="1" customWidth="1" outlineLevel="1"/>
    <col min="17" max="17" width="7.44140625" style="317" hidden="1" customWidth="1" outlineLevel="1"/>
    <col min="18" max="18" width="8" style="319" customWidth="1"/>
    <col min="19" max="19" width="7" style="320" customWidth="1"/>
    <col min="20" max="20" width="37.109375" style="321" customWidth="1" outlineLevel="1"/>
    <col min="21" max="21" width="5.5546875" style="322" customWidth="1"/>
    <col min="22" max="22" width="4.88671875" style="322" customWidth="1" collapsed="1"/>
    <col min="23" max="23" width="33.5546875" style="323" hidden="1" customWidth="1" outlineLevel="1"/>
    <col min="24" max="24" width="10.88671875" style="318" customWidth="1"/>
    <col min="25" max="25" width="11.5546875" style="324" customWidth="1"/>
    <col min="26" max="27" width="15.109375" style="1" customWidth="1"/>
  </cols>
  <sheetData>
    <row r="1" spans="2:27" s="2" customFormat="1" ht="10.199999999999999" x14ac:dyDescent="0.2">
      <c r="B1" s="714" t="s">
        <v>534</v>
      </c>
      <c r="C1" s="714" t="s">
        <v>229</v>
      </c>
      <c r="D1" s="714" t="s">
        <v>315</v>
      </c>
      <c r="E1" s="714" t="s">
        <v>228</v>
      </c>
      <c r="F1" s="715" t="s">
        <v>523</v>
      </c>
      <c r="G1" s="716" t="s">
        <v>524</v>
      </c>
      <c r="H1" s="716" t="s">
        <v>525</v>
      </c>
      <c r="I1" s="717" t="s">
        <v>227</v>
      </c>
      <c r="J1" s="30" t="s">
        <v>533</v>
      </c>
      <c r="K1" s="4" t="s">
        <v>316</v>
      </c>
      <c r="L1" s="4" t="s">
        <v>532</v>
      </c>
      <c r="M1" s="30" t="s">
        <v>233</v>
      </c>
      <c r="N1" s="30" t="s">
        <v>303</v>
      </c>
      <c r="O1" s="4" t="s">
        <v>526</v>
      </c>
      <c r="P1" s="4" t="s">
        <v>527</v>
      </c>
      <c r="Q1" s="4" t="s">
        <v>528</v>
      </c>
      <c r="R1" s="718" t="s">
        <v>529</v>
      </c>
      <c r="S1" s="4" t="s">
        <v>530</v>
      </c>
      <c r="T1" s="14" t="s">
        <v>531</v>
      </c>
      <c r="U1" s="19" t="s">
        <v>519</v>
      </c>
      <c r="V1" s="19" t="s">
        <v>520</v>
      </c>
      <c r="W1" s="103" t="s">
        <v>521</v>
      </c>
      <c r="X1" s="4" t="s">
        <v>254</v>
      </c>
      <c r="Y1" s="7" t="s">
        <v>338</v>
      </c>
      <c r="Z1" s="7" t="s">
        <v>883</v>
      </c>
      <c r="AA1" s="7" t="s">
        <v>885</v>
      </c>
    </row>
    <row r="2" spans="2:27" ht="11.25" customHeight="1" x14ac:dyDescent="0.3">
      <c r="B2" s="36"/>
      <c r="C2" s="32"/>
      <c r="J2" s="15" t="str">
        <f t="shared" ref="J2" si="0">CONCATENATE(D2," ",E2)</f>
        <v xml:space="preserve"> </v>
      </c>
      <c r="K2" s="3" t="str">
        <f>IF(I2=0,"-",VALUE(LEFT(D2,LEN(D2)-(INDEX!$E$13-3))))</f>
        <v>-</v>
      </c>
      <c r="L2" s="5" t="str">
        <f>IF(I2=0,"-",VLOOKUP(K2,ucty_synt!A:B,2,0))</f>
        <v>-</v>
      </c>
      <c r="M2" s="15" t="str">
        <f>IF(S2="-","-",VLOOKUP(K2,ucty_synt!A:S,3,0))</f>
        <v>-</v>
      </c>
      <c r="N2" s="15" t="str">
        <f>IF(I2=0,"-",IF(M2="Rozvaha",VLOOKUP(S2,'radky_R'!A:O,6,0),IF(M2="Výsledovka",VLOOKUP(S2,'radky_V'!A:M,6,0),"-")))</f>
        <v>-</v>
      </c>
      <c r="O2" s="3" t="str">
        <f>IF(I2=0,"-",IF(COUNTIF(ucty_synt!A:A,K2)=0,"účet n/a",IF(VLOOKUP(K2,ucty_synt!A:S,4,0)=RIGHT($P$1,5),"podle AÚ",IF(VLOOKUP(K2,ucty_synt!A:S,4,0)=RIGHT($Q$1,5),"podle SÚ",IF(SUMIF(ucty_synt!A:A,K2,ucty_synt!E:E)&lt;&gt;0,VLOOKUP(K2,ucty_synt!A:T,5,0),"doplnit")))))</f>
        <v>-</v>
      </c>
      <c r="P2" s="3" t="str">
        <f>IF(I2=0,"-",IF(VLOOKUP(K2,ucty_synt!A:S,4,0)=RIGHT($P$1,5),IF(SUMIFS(I:I,C:C,C2,D:D,D2)&gt;=0,VLOOKUP(K2,ucty_synt!A:E,5,0),VLOOKUP(K2,ucty_synt!A:L,12,0)),"-"))</f>
        <v>-</v>
      </c>
      <c r="Q2" s="3" t="str">
        <f>IF(I2=0,"-",IF(VLOOKUP(K2,ucty_synt!A:S,4,0)=RIGHT($Q$1,5),IF(SUMIFS(I:I,C:C,C2,K:K,K2)&gt;=0,VLOOKUP(K2,ucty_synt!A:E,5,0),VLOOKUP(K2,ucty_synt!A:L,12,0)),"-"))</f>
        <v>-</v>
      </c>
      <c r="R2" s="459"/>
      <c r="S2" s="8" t="str">
        <f t="shared" ref="S2" si="1">IF(ISNUMBER(R2),R2,IF(ISNUMBER(Q2),Q2,IF(ISNUMBER(P2),P2,IF(ISNUMBER(O2),O2,"-"))))</f>
        <v>-</v>
      </c>
      <c r="T2" s="15" t="str">
        <f>IF(S2="-","-",IF(M2="Rozvaha",VLOOKUP(S2,'radky_R'!A:O,14,0),IF(M2="Výsledovka",VLOOKUP(S2,'radky_V'!A:M,12,0),"-")))</f>
        <v>-</v>
      </c>
      <c r="U2" s="20" t="str">
        <f>IF(I2=0,"-",IF(M2="Rozvaha",VLOOKUP(S2,'radky_R'!A:O,8,0),IF(M2="Výsledovka",VLOOKUP(S2,'radky_V'!A:M,8,0),"-")))</f>
        <v>-</v>
      </c>
      <c r="V2" s="20" t="str">
        <f>IF(I2=0,"-",IF(M2="Rozvaha",VLOOKUP(S2,'radky_R'!A:O,9,0),IF(M2="Výsledovka",VLOOKUP(S2,'radky_V'!A:M,9,0),"-")))</f>
        <v>-</v>
      </c>
      <c r="W2" s="104" t="str">
        <f>IF(I2=0,"-",IF(M2="Rozvaha",VLOOKUP(S2,'radky_R'!A:O,15,0),IF(M2="Výsledovka",VLOOKUP(S2,'radky_V'!A:M,11,0),"-")))</f>
        <v>-</v>
      </c>
      <c r="X2" s="5" t="str">
        <f>IF(I2=0,"-",VLOOKUP(K2,ucty_synt!A:S,19,0))</f>
        <v>-</v>
      </c>
      <c r="Y2" s="6">
        <f t="shared" ref="Y2" si="2">I2/zaokr</f>
        <v>0</v>
      </c>
      <c r="Z2" s="650" t="str">
        <f>IF(data[[#This Row],[uc_synt]]="-","-",VLOOKUP(data[[#This Row],[uc_synt]],ucty_synt!A:T,20,0))</f>
        <v>-</v>
      </c>
      <c r="AA2" s="650" t="str">
        <f>IF(COUNTIF(proc_exc!A:A,data[[#This Row],[ucet]])&gt;1,"chyba v proc_exc!",IF(COUNTIF(proc_exc!A:A,data[[#This Row],[ucet]])=1,VLOOKUP(data[[#This Row],[ucet]],proc_exc!A:E,5,0),data[[#This Row],[proces default]]))</f>
        <v>-</v>
      </c>
    </row>
    <row r="3" spans="2:27" ht="11.25" customHeight="1" x14ac:dyDescent="0.3">
      <c r="B3" s="36"/>
      <c r="C3" s="32"/>
      <c r="J3" s="15" t="str">
        <f t="shared" ref="J3" si="3">CONCATENATE(D3," ",E3)</f>
        <v xml:space="preserve"> </v>
      </c>
      <c r="K3" s="3" t="str">
        <f>IF(I3=0,"-",VALUE(LEFT(D3,LEN(D3)-(INDEX!$E$13-3))))</f>
        <v>-</v>
      </c>
      <c r="L3" s="5" t="str">
        <f>IF(I3=0,"-",VLOOKUP(K3,ucty_synt!A:B,2,0))</f>
        <v>-</v>
      </c>
      <c r="M3" s="15" t="str">
        <f>IF(S3="-","-",VLOOKUP(K3,ucty_synt!A:S,3,0))</f>
        <v>-</v>
      </c>
      <c r="N3" s="15" t="str">
        <f>IF(I3=0,"-",IF(M3="Rozvaha",VLOOKUP(S3,'radky_R'!A:O,6,0),IF(M3="Výsledovka",VLOOKUP(S3,'radky_V'!A:M,6,0),"-")))</f>
        <v>-</v>
      </c>
      <c r="O3" s="3" t="str">
        <f>IF(I3=0,"-",IF(COUNTIF(ucty_synt!A:A,K3)=0,"účet n/a",IF(VLOOKUP(K3,ucty_synt!A:S,4,0)=RIGHT($P$1,5),"podle AÚ",IF(VLOOKUP(K3,ucty_synt!A:S,4,0)=RIGHT($Q$1,5),"podle SÚ",IF(SUMIF(ucty_synt!A:A,K3,ucty_synt!E:E)&lt;&gt;0,VLOOKUP(K3,ucty_synt!A:T,5,0),"doplnit")))))</f>
        <v>-</v>
      </c>
      <c r="P3" s="3" t="str">
        <f>IF(I3=0,"-",IF(VLOOKUP(K3,ucty_synt!A:S,4,0)=RIGHT($P$1,5),IF(SUMIFS(I:I,C:C,C3,D:D,D3)&gt;=0,VLOOKUP(K3,ucty_synt!A:E,5,0),VLOOKUP(K3,ucty_synt!A:L,12,0)),"-"))</f>
        <v>-</v>
      </c>
      <c r="Q3" s="3" t="str">
        <f>IF(I3=0,"-",IF(VLOOKUP(K3,ucty_synt!A:S,4,0)=RIGHT($Q$1,5),IF(SUMIFS(I:I,C:C,C3,K:K,K3)&gt;=0,VLOOKUP(K3,ucty_synt!A:E,5,0),VLOOKUP(K3,ucty_synt!A:L,12,0)),"-"))</f>
        <v>-</v>
      </c>
      <c r="R3" s="459"/>
      <c r="S3" s="8" t="str">
        <f t="shared" ref="S3" si="4">IF(ISNUMBER(R3),R3,IF(ISNUMBER(Q3),Q3,IF(ISNUMBER(P3),P3,IF(ISNUMBER(O3),O3,"-"))))</f>
        <v>-</v>
      </c>
      <c r="T3" s="15" t="str">
        <f>IF(S3="-","-",IF(M3="Rozvaha",VLOOKUP(S3,'radky_R'!A:O,14,0),IF(M3="Výsledovka",VLOOKUP(S3,'radky_V'!A:M,12,0),"-")))</f>
        <v>-</v>
      </c>
      <c r="U3" s="20" t="str">
        <f>IF(I3=0,"-",IF(M3="Rozvaha",VLOOKUP(S3,'radky_R'!A:O,8,0),IF(M3="Výsledovka",VLOOKUP(S3,'radky_V'!A:M,8,0),"-")))</f>
        <v>-</v>
      </c>
      <c r="V3" s="20" t="str">
        <f>IF(I3=0,"-",IF(M3="Rozvaha",VLOOKUP(S3,'radky_R'!A:O,9,0),IF(M3="Výsledovka",VLOOKUP(S3,'radky_V'!A:M,9,0),"-")))</f>
        <v>-</v>
      </c>
      <c r="W3" s="104" t="str">
        <f>IF(I3=0,"-",IF(M3="Rozvaha",VLOOKUP(S3,'radky_R'!A:O,15,0),IF(M3="Výsledovka",VLOOKUP(S3,'radky_V'!A:M,11,0),"-")))</f>
        <v>-</v>
      </c>
      <c r="X3" s="5" t="str">
        <f>IF(I3=0,"-",VLOOKUP(K3,ucty_synt!A:S,19,0))</f>
        <v>-</v>
      </c>
      <c r="Y3" s="6">
        <f t="shared" ref="Y3" si="5">I3/zaokr</f>
        <v>0</v>
      </c>
      <c r="Z3" s="650" t="str">
        <f>IF(data[[#This Row],[uc_synt]]="-","-",VLOOKUP(data[[#This Row],[uc_synt]],ucty_synt!A:T,20,0))</f>
        <v>-</v>
      </c>
      <c r="AA3" s="650" t="str">
        <f>IF(COUNTIF(proc_exc!A:A,data[[#This Row],[ucet]])&gt;1,"chyba v proc_exc!",IF(COUNTIF(proc_exc!A:A,data[[#This Row],[ucet]])=1,VLOOKUP(data[[#This Row],[ucet]],proc_exc!A:E,5,0),data[[#This Row],[proces default]]))</f>
        <v>-</v>
      </c>
    </row>
    <row r="4" spans="2:27" x14ac:dyDescent="0.3">
      <c r="B4" s="36"/>
      <c r="C4" s="32"/>
      <c r="J4" s="15" t="str">
        <f t="shared" ref="J4:J35" si="6">CONCATENATE(D4," ",E4)</f>
        <v xml:space="preserve"> </v>
      </c>
      <c r="K4" s="3" t="str">
        <f>IF(I4=0,"-",VALUE(LEFT(D4,LEN(D4)-(INDEX!$E$13-3))))</f>
        <v>-</v>
      </c>
      <c r="L4" s="5" t="str">
        <f>IF(I4=0,"-",VLOOKUP(K4,ucty_synt!A:B,2,0))</f>
        <v>-</v>
      </c>
      <c r="M4" s="15" t="str">
        <f>IF(S4="-","-",VLOOKUP(K4,ucty_synt!A:S,3,0))</f>
        <v>-</v>
      </c>
      <c r="N4" s="15" t="str">
        <f>IF(I4=0,"-",IF(M4="Rozvaha",VLOOKUP(S4,'radky_R'!A:O,6,0),IF(M4="Výsledovka",VLOOKUP(S4,'radky_V'!A:M,6,0),"-")))</f>
        <v>-</v>
      </c>
      <c r="O4" s="3" t="str">
        <f>IF(I4=0,"-",IF(COUNTIF(ucty_synt!A:A,K4)=0,"účet n/a",IF(VLOOKUP(K4,ucty_synt!A:S,4,0)=RIGHT($P$1,5),"podle AÚ",IF(VLOOKUP(K4,ucty_synt!A:S,4,0)=RIGHT($Q$1,5),"podle SÚ",IF(SUMIF(ucty_synt!A:A,K4,ucty_synt!E:E)&lt;&gt;0,VLOOKUP(K4,ucty_synt!A:T,5,0),"doplnit")))))</f>
        <v>-</v>
      </c>
      <c r="P4" s="3" t="str">
        <f>IF(I4=0,"-",IF(VLOOKUP(K4,ucty_synt!A:S,4,0)=RIGHT($P$1,5),IF(SUMIFS(I:I,C:C,C4,D:D,D4)&gt;=0,VLOOKUP(K4,ucty_synt!A:E,5,0),VLOOKUP(K4,ucty_synt!A:L,12,0)),"-"))</f>
        <v>-</v>
      </c>
      <c r="Q4" s="3" t="str">
        <f>IF(I4=0,"-",IF(VLOOKUP(K4,ucty_synt!A:S,4,0)=RIGHT($Q$1,5),IF(SUMIFS(I:I,C:C,C4,K:K,K4)&gt;=0,VLOOKUP(K4,ucty_synt!A:E,5,0),VLOOKUP(K4,ucty_synt!A:L,12,0)),"-"))</f>
        <v>-</v>
      </c>
      <c r="R4" s="459"/>
      <c r="S4" s="8" t="str">
        <f t="shared" ref="S4:S35" si="7">IF(ISNUMBER(R4),R4,IF(ISNUMBER(Q4),Q4,IF(ISNUMBER(P4),P4,IF(ISNUMBER(O4),O4,"-"))))</f>
        <v>-</v>
      </c>
      <c r="T4" s="15" t="str">
        <f>IF(S4="-","-",IF(M4="Rozvaha",VLOOKUP(S4,'radky_R'!A:O,14,0),IF(M4="Výsledovka",VLOOKUP(S4,'radky_V'!A:M,12,0),"-")))</f>
        <v>-</v>
      </c>
      <c r="U4" s="20" t="str">
        <f>IF(I4=0,"-",IF(M4="Rozvaha",VLOOKUP(S4,'radky_R'!A:O,8,0),IF(M4="Výsledovka",VLOOKUP(S4,'radky_V'!A:M,8,0),"-")))</f>
        <v>-</v>
      </c>
      <c r="V4" s="20" t="str">
        <f>IF(I4=0,"-",IF(M4="Rozvaha",VLOOKUP(S4,'radky_R'!A:O,9,0),IF(M4="Výsledovka",VLOOKUP(S4,'radky_V'!A:M,9,0),"-")))</f>
        <v>-</v>
      </c>
      <c r="W4" s="104" t="str">
        <f>IF(I4=0,"-",IF(M4="Rozvaha",VLOOKUP(S4,'radky_R'!A:O,15,0),IF(M4="Výsledovka",VLOOKUP(S4,'radky_V'!A:M,11,0),"-")))</f>
        <v>-</v>
      </c>
      <c r="X4" s="5" t="str">
        <f>IF(I4=0,"-",VLOOKUP(K4,ucty_synt!A:S,19,0))</f>
        <v>-</v>
      </c>
      <c r="Y4" s="6">
        <f t="shared" ref="Y4:Y35" si="8">I4/zaokr</f>
        <v>0</v>
      </c>
      <c r="Z4" s="650" t="str">
        <f>IF(data[[#This Row],[uc_synt]]="-","-",VLOOKUP(data[[#This Row],[uc_synt]],ucty_synt!A:T,20,0))</f>
        <v>-</v>
      </c>
      <c r="AA4" s="650" t="str">
        <f>IF(COUNTIF(proc_exc!A:A,data[[#This Row],[ucet]])&gt;1,"chyba v proc_exc!",IF(COUNTIF(proc_exc!A:A,data[[#This Row],[ucet]])=1,VLOOKUP(data[[#This Row],[ucet]],proc_exc!A:E,5,0),data[[#This Row],[proces default]]))</f>
        <v>-</v>
      </c>
    </row>
    <row r="5" spans="2:27" x14ac:dyDescent="0.3">
      <c r="B5" s="36"/>
      <c r="C5" s="32"/>
      <c r="J5" s="15" t="str">
        <f t="shared" si="6"/>
        <v xml:space="preserve"> </v>
      </c>
      <c r="K5" s="3" t="str">
        <f>IF(I5=0,"-",VALUE(LEFT(D5,LEN(D5)-(INDEX!$E$13-3))))</f>
        <v>-</v>
      </c>
      <c r="L5" s="5" t="str">
        <f>IF(I5=0,"-",VLOOKUP(K5,ucty_synt!A:B,2,0))</f>
        <v>-</v>
      </c>
      <c r="M5" s="15" t="str">
        <f>IF(S5="-","-",VLOOKUP(K5,ucty_synt!A:S,3,0))</f>
        <v>-</v>
      </c>
      <c r="N5" s="15" t="str">
        <f>IF(I5=0,"-",IF(M5="Rozvaha",VLOOKUP(S5,'radky_R'!A:O,6,0),IF(M5="Výsledovka",VLOOKUP(S5,'radky_V'!A:M,6,0),"-")))</f>
        <v>-</v>
      </c>
      <c r="O5" s="3" t="str">
        <f>IF(I5=0,"-",IF(COUNTIF(ucty_synt!A:A,K5)=0,"účet n/a",IF(VLOOKUP(K5,ucty_synt!A:S,4,0)=RIGHT($P$1,5),"podle AÚ",IF(VLOOKUP(K5,ucty_synt!A:S,4,0)=RIGHT($Q$1,5),"podle SÚ",IF(SUMIF(ucty_synt!A:A,K5,ucty_synt!E:E)&lt;&gt;0,VLOOKUP(K5,ucty_synt!A:T,5,0),"doplnit")))))</f>
        <v>-</v>
      </c>
      <c r="P5" s="3" t="str">
        <f>IF(I5=0,"-",IF(VLOOKUP(K5,ucty_synt!A:S,4,0)=RIGHT($P$1,5),IF(SUMIFS(I:I,C:C,C5,D:D,D5)&gt;=0,VLOOKUP(K5,ucty_synt!A:E,5,0),VLOOKUP(K5,ucty_synt!A:L,12,0)),"-"))</f>
        <v>-</v>
      </c>
      <c r="Q5" s="3" t="str">
        <f>IF(I5=0,"-",IF(VLOOKUP(K5,ucty_synt!A:S,4,0)=RIGHT($Q$1,5),IF(SUMIFS(I:I,C:C,C5,K:K,K5)&gt;=0,VLOOKUP(K5,ucty_synt!A:E,5,0),VLOOKUP(K5,ucty_synt!A:L,12,0)),"-"))</f>
        <v>-</v>
      </c>
      <c r="R5" s="459"/>
      <c r="S5" s="8" t="str">
        <f t="shared" si="7"/>
        <v>-</v>
      </c>
      <c r="T5" s="15" t="str">
        <f>IF(S5="-","-",IF(M5="Rozvaha",VLOOKUP(S5,'radky_R'!A:O,14,0),IF(M5="Výsledovka",VLOOKUP(S5,'radky_V'!A:M,12,0),"-")))</f>
        <v>-</v>
      </c>
      <c r="U5" s="20" t="str">
        <f>IF(I5=0,"-",IF(M5="Rozvaha",VLOOKUP(S5,'radky_R'!A:O,8,0),IF(M5="Výsledovka",VLOOKUP(S5,'radky_V'!A:M,8,0),"-")))</f>
        <v>-</v>
      </c>
      <c r="V5" s="20" t="str">
        <f>IF(I5=0,"-",IF(M5="Rozvaha",VLOOKUP(S5,'radky_R'!A:O,9,0),IF(M5="Výsledovka",VLOOKUP(S5,'radky_V'!A:M,9,0),"-")))</f>
        <v>-</v>
      </c>
      <c r="W5" s="104" t="str">
        <f>IF(I5=0,"-",IF(M5="Rozvaha",VLOOKUP(S5,'radky_R'!A:O,15,0),IF(M5="Výsledovka",VLOOKUP(S5,'radky_V'!A:M,11,0),"-")))</f>
        <v>-</v>
      </c>
      <c r="X5" s="5" t="str">
        <f>IF(I5=0,"-",VLOOKUP(K5,ucty_synt!A:S,19,0))</f>
        <v>-</v>
      </c>
      <c r="Y5" s="6">
        <f t="shared" si="8"/>
        <v>0</v>
      </c>
      <c r="Z5" s="650" t="str">
        <f>IF(data[[#This Row],[uc_synt]]="-","-",VLOOKUP(data[[#This Row],[uc_synt]],ucty_synt!A:T,20,0))</f>
        <v>-</v>
      </c>
      <c r="AA5" s="650" t="str">
        <f>IF(COUNTIF(proc_exc!A:A,data[[#This Row],[ucet]])&gt;1,"chyba v proc_exc!",IF(COUNTIF(proc_exc!A:A,data[[#This Row],[ucet]])=1,VLOOKUP(data[[#This Row],[ucet]],proc_exc!A:E,5,0),data[[#This Row],[proces default]]))</f>
        <v>-</v>
      </c>
    </row>
    <row r="6" spans="2:27" x14ac:dyDescent="0.3">
      <c r="B6" s="36"/>
      <c r="C6" s="32"/>
      <c r="J6" s="15" t="str">
        <f t="shared" si="6"/>
        <v xml:space="preserve"> </v>
      </c>
      <c r="K6" s="3" t="str">
        <f>IF(I6=0,"-",VALUE(LEFT(D6,LEN(D6)-(INDEX!$E$13-3))))</f>
        <v>-</v>
      </c>
      <c r="L6" s="5" t="str">
        <f>IF(I6=0,"-",VLOOKUP(K6,ucty_synt!A:B,2,0))</f>
        <v>-</v>
      </c>
      <c r="M6" s="15" t="str">
        <f>IF(S6="-","-",VLOOKUP(K6,ucty_synt!A:S,3,0))</f>
        <v>-</v>
      </c>
      <c r="N6" s="15" t="str">
        <f>IF(I6=0,"-",IF(M6="Rozvaha",VLOOKUP(S6,'radky_R'!A:O,6,0),IF(M6="Výsledovka",VLOOKUP(S6,'radky_V'!A:M,6,0),"-")))</f>
        <v>-</v>
      </c>
      <c r="O6" s="3" t="str">
        <f>IF(I6=0,"-",IF(COUNTIF(ucty_synt!A:A,K6)=0,"účet n/a",IF(VLOOKUP(K6,ucty_synt!A:S,4,0)=RIGHT($P$1,5),"podle AÚ",IF(VLOOKUP(K6,ucty_synt!A:S,4,0)=RIGHT($Q$1,5),"podle SÚ",IF(SUMIF(ucty_synt!A:A,K6,ucty_synt!E:E)&lt;&gt;0,VLOOKUP(K6,ucty_synt!A:T,5,0),"doplnit")))))</f>
        <v>-</v>
      </c>
      <c r="P6" s="3" t="str">
        <f>IF(I6=0,"-",IF(VLOOKUP(K6,ucty_synt!A:S,4,0)=RIGHT($P$1,5),IF(SUMIFS(I:I,C:C,C6,D:D,D6)&gt;=0,VLOOKUP(K6,ucty_synt!A:E,5,0),VLOOKUP(K6,ucty_synt!A:L,12,0)),"-"))</f>
        <v>-</v>
      </c>
      <c r="Q6" s="3" t="str">
        <f>IF(I6=0,"-",IF(VLOOKUP(K6,ucty_synt!A:S,4,0)=RIGHT($Q$1,5),IF(SUMIFS(I:I,C:C,C6,K:K,K6)&gt;=0,VLOOKUP(K6,ucty_synt!A:E,5,0),VLOOKUP(K6,ucty_synt!A:L,12,0)),"-"))</f>
        <v>-</v>
      </c>
      <c r="R6" s="459"/>
      <c r="S6" s="8" t="str">
        <f t="shared" si="7"/>
        <v>-</v>
      </c>
      <c r="T6" s="15" t="str">
        <f>IF(S6="-","-",IF(M6="Rozvaha",VLOOKUP(S6,'radky_R'!A:O,14,0),IF(M6="Výsledovka",VLOOKUP(S6,'radky_V'!A:M,12,0),"-")))</f>
        <v>-</v>
      </c>
      <c r="U6" s="20" t="str">
        <f>IF(I6=0,"-",IF(M6="Rozvaha",VLOOKUP(S6,'radky_R'!A:O,8,0),IF(M6="Výsledovka",VLOOKUP(S6,'radky_V'!A:M,8,0),"-")))</f>
        <v>-</v>
      </c>
      <c r="V6" s="20" t="str">
        <f>IF(I6=0,"-",IF(M6="Rozvaha",VLOOKUP(S6,'radky_R'!A:O,9,0),IF(M6="Výsledovka",VLOOKUP(S6,'radky_V'!A:M,9,0),"-")))</f>
        <v>-</v>
      </c>
      <c r="W6" s="104" t="str">
        <f>IF(I6=0,"-",IF(M6="Rozvaha",VLOOKUP(S6,'radky_R'!A:O,15,0),IF(M6="Výsledovka",VLOOKUP(S6,'radky_V'!A:M,11,0),"-")))</f>
        <v>-</v>
      </c>
      <c r="X6" s="5" t="str">
        <f>IF(I6=0,"-",VLOOKUP(K6,ucty_synt!A:S,19,0))</f>
        <v>-</v>
      </c>
      <c r="Y6" s="6">
        <f t="shared" si="8"/>
        <v>0</v>
      </c>
      <c r="Z6" s="650" t="str">
        <f>IF(data[[#This Row],[uc_synt]]="-","-",VLOOKUP(data[[#This Row],[uc_synt]],ucty_synt!A:T,20,0))</f>
        <v>-</v>
      </c>
      <c r="AA6" s="650" t="str">
        <f>IF(COUNTIF(proc_exc!A:A,data[[#This Row],[ucet]])&gt;1,"chyba v proc_exc!",IF(COUNTIF(proc_exc!A:A,data[[#This Row],[ucet]])=1,VLOOKUP(data[[#This Row],[ucet]],proc_exc!A:E,5,0),data[[#This Row],[proces default]]))</f>
        <v>-</v>
      </c>
    </row>
    <row r="7" spans="2:27" x14ac:dyDescent="0.3">
      <c r="B7" s="36"/>
      <c r="C7" s="32"/>
      <c r="J7" s="15" t="str">
        <f t="shared" si="6"/>
        <v xml:space="preserve"> </v>
      </c>
      <c r="K7" s="3" t="str">
        <f>IF(I7=0,"-",VALUE(LEFT(D7,LEN(D7)-(INDEX!$E$13-3))))</f>
        <v>-</v>
      </c>
      <c r="L7" s="5" t="str">
        <f>IF(I7=0,"-",VLOOKUP(K7,ucty_synt!A:B,2,0))</f>
        <v>-</v>
      </c>
      <c r="M7" s="15" t="str">
        <f>IF(S7="-","-",VLOOKUP(K7,ucty_synt!A:S,3,0))</f>
        <v>-</v>
      </c>
      <c r="N7" s="15" t="str">
        <f>IF(I7=0,"-",IF(M7="Rozvaha",VLOOKUP(S7,'radky_R'!A:O,6,0),IF(M7="Výsledovka",VLOOKUP(S7,'radky_V'!A:M,6,0),"-")))</f>
        <v>-</v>
      </c>
      <c r="O7" s="3" t="str">
        <f>IF(I7=0,"-",IF(COUNTIF(ucty_synt!A:A,K7)=0,"účet n/a",IF(VLOOKUP(K7,ucty_synt!A:S,4,0)=RIGHT($P$1,5),"podle AÚ",IF(VLOOKUP(K7,ucty_synt!A:S,4,0)=RIGHT($Q$1,5),"podle SÚ",IF(SUMIF(ucty_synt!A:A,K7,ucty_synt!E:E)&lt;&gt;0,VLOOKUP(K7,ucty_synt!A:T,5,0),"doplnit")))))</f>
        <v>-</v>
      </c>
      <c r="P7" s="3" t="str">
        <f>IF(I7=0,"-",IF(VLOOKUP(K7,ucty_synt!A:S,4,0)=RIGHT($P$1,5),IF(SUMIFS(I:I,C:C,C7,D:D,D7)&gt;=0,VLOOKUP(K7,ucty_synt!A:E,5,0),VLOOKUP(K7,ucty_synt!A:L,12,0)),"-"))</f>
        <v>-</v>
      </c>
      <c r="Q7" s="3" t="str">
        <f>IF(I7=0,"-",IF(VLOOKUP(K7,ucty_synt!A:S,4,0)=RIGHT($Q$1,5),IF(SUMIFS(I:I,C:C,C7,K:K,K7)&gt;=0,VLOOKUP(K7,ucty_synt!A:E,5,0),VLOOKUP(K7,ucty_synt!A:L,12,0)),"-"))</f>
        <v>-</v>
      </c>
      <c r="R7" s="459"/>
      <c r="S7" s="8" t="str">
        <f t="shared" si="7"/>
        <v>-</v>
      </c>
      <c r="T7" s="15" t="str">
        <f>IF(S7="-","-",IF(M7="Rozvaha",VLOOKUP(S7,'radky_R'!A:O,14,0),IF(M7="Výsledovka",VLOOKUP(S7,'radky_V'!A:M,12,0),"-")))</f>
        <v>-</v>
      </c>
      <c r="U7" s="20" t="str">
        <f>IF(I7=0,"-",IF(M7="Rozvaha",VLOOKUP(S7,'radky_R'!A:O,8,0),IF(M7="Výsledovka",VLOOKUP(S7,'radky_V'!A:M,8,0),"-")))</f>
        <v>-</v>
      </c>
      <c r="V7" s="20" t="str">
        <f>IF(I7=0,"-",IF(M7="Rozvaha",VLOOKUP(S7,'radky_R'!A:O,9,0),IF(M7="Výsledovka",VLOOKUP(S7,'radky_V'!A:M,9,0),"-")))</f>
        <v>-</v>
      </c>
      <c r="W7" s="104" t="str">
        <f>IF(I7=0,"-",IF(M7="Rozvaha",VLOOKUP(S7,'radky_R'!A:O,15,0),IF(M7="Výsledovka",VLOOKUP(S7,'radky_V'!A:M,11,0),"-")))</f>
        <v>-</v>
      </c>
      <c r="X7" s="5" t="str">
        <f>IF(I7=0,"-",VLOOKUP(K7,ucty_synt!A:S,19,0))</f>
        <v>-</v>
      </c>
      <c r="Y7" s="6">
        <f t="shared" si="8"/>
        <v>0</v>
      </c>
      <c r="Z7" s="650" t="str">
        <f>IF(data[[#This Row],[uc_synt]]="-","-",VLOOKUP(data[[#This Row],[uc_synt]],ucty_synt!A:T,20,0))</f>
        <v>-</v>
      </c>
      <c r="AA7" s="650" t="str">
        <f>IF(COUNTIF(proc_exc!A:A,data[[#This Row],[ucet]])&gt;1,"chyba v proc_exc!",IF(COUNTIF(proc_exc!A:A,data[[#This Row],[ucet]])=1,VLOOKUP(data[[#This Row],[ucet]],proc_exc!A:E,5,0),data[[#This Row],[proces default]]))</f>
        <v>-</v>
      </c>
    </row>
    <row r="8" spans="2:27" x14ac:dyDescent="0.3">
      <c r="B8" s="36"/>
      <c r="C8" s="32"/>
      <c r="J8" s="15" t="str">
        <f t="shared" si="6"/>
        <v xml:space="preserve"> </v>
      </c>
      <c r="K8" s="3" t="str">
        <f>IF(I8=0,"-",VALUE(LEFT(D8,LEN(D8)-(INDEX!$E$13-3))))</f>
        <v>-</v>
      </c>
      <c r="L8" s="5" t="str">
        <f>IF(I8=0,"-",VLOOKUP(K8,ucty_synt!A:B,2,0))</f>
        <v>-</v>
      </c>
      <c r="M8" s="15" t="str">
        <f>IF(S8="-","-",VLOOKUP(K8,ucty_synt!A:S,3,0))</f>
        <v>-</v>
      </c>
      <c r="N8" s="15" t="str">
        <f>IF(I8=0,"-",IF(M8="Rozvaha",VLOOKUP(S8,'radky_R'!A:O,6,0),IF(M8="Výsledovka",VLOOKUP(S8,'radky_V'!A:M,6,0),"-")))</f>
        <v>-</v>
      </c>
      <c r="O8" s="3" t="str">
        <f>IF(I8=0,"-",IF(COUNTIF(ucty_synt!A:A,K8)=0,"účet n/a",IF(VLOOKUP(K8,ucty_synt!A:S,4,0)=RIGHT($P$1,5),"podle AÚ",IF(VLOOKUP(K8,ucty_synt!A:S,4,0)=RIGHT($Q$1,5),"podle SÚ",IF(SUMIF(ucty_synt!A:A,K8,ucty_synt!E:E)&lt;&gt;0,VLOOKUP(K8,ucty_synt!A:T,5,0),"doplnit")))))</f>
        <v>-</v>
      </c>
      <c r="P8" s="3" t="str">
        <f>IF(I8=0,"-",IF(VLOOKUP(K8,ucty_synt!A:S,4,0)=RIGHT($P$1,5),IF(SUMIFS(I:I,C:C,C8,D:D,D8)&gt;=0,VLOOKUP(K8,ucty_synt!A:E,5,0),VLOOKUP(K8,ucty_synt!A:L,12,0)),"-"))</f>
        <v>-</v>
      </c>
      <c r="Q8" s="3" t="str">
        <f>IF(I8=0,"-",IF(VLOOKUP(K8,ucty_synt!A:S,4,0)=RIGHT($Q$1,5),IF(SUMIFS(I:I,C:C,C8,K:K,K8)&gt;=0,VLOOKUP(K8,ucty_synt!A:E,5,0),VLOOKUP(K8,ucty_synt!A:L,12,0)),"-"))</f>
        <v>-</v>
      </c>
      <c r="R8" s="459"/>
      <c r="S8" s="8" t="str">
        <f t="shared" si="7"/>
        <v>-</v>
      </c>
      <c r="T8" s="15" t="str">
        <f>IF(S8="-","-",IF(M8="Rozvaha",VLOOKUP(S8,'radky_R'!A:O,14,0),IF(M8="Výsledovka",VLOOKUP(S8,'radky_V'!A:M,12,0),"-")))</f>
        <v>-</v>
      </c>
      <c r="U8" s="20" t="str">
        <f>IF(I8=0,"-",IF(M8="Rozvaha",VLOOKUP(S8,'radky_R'!A:O,8,0),IF(M8="Výsledovka",VLOOKUP(S8,'radky_V'!A:M,8,0),"-")))</f>
        <v>-</v>
      </c>
      <c r="V8" s="20" t="str">
        <f>IF(I8=0,"-",IF(M8="Rozvaha",VLOOKUP(S8,'radky_R'!A:O,9,0),IF(M8="Výsledovka",VLOOKUP(S8,'radky_V'!A:M,9,0),"-")))</f>
        <v>-</v>
      </c>
      <c r="W8" s="104" t="str">
        <f>IF(I8=0,"-",IF(M8="Rozvaha",VLOOKUP(S8,'radky_R'!A:O,15,0),IF(M8="Výsledovka",VLOOKUP(S8,'radky_V'!A:M,11,0),"-")))</f>
        <v>-</v>
      </c>
      <c r="X8" s="5" t="str">
        <f>IF(I8=0,"-",VLOOKUP(K8,ucty_synt!A:S,19,0))</f>
        <v>-</v>
      </c>
      <c r="Y8" s="6">
        <f t="shared" si="8"/>
        <v>0</v>
      </c>
      <c r="Z8" s="650" t="str">
        <f>IF(data[[#This Row],[uc_synt]]="-","-",VLOOKUP(data[[#This Row],[uc_synt]],ucty_synt!A:T,20,0))</f>
        <v>-</v>
      </c>
      <c r="AA8" s="650" t="str">
        <f>IF(COUNTIF(proc_exc!A:A,data[[#This Row],[ucet]])&gt;1,"chyba v proc_exc!",IF(COUNTIF(proc_exc!A:A,data[[#This Row],[ucet]])=1,VLOOKUP(data[[#This Row],[ucet]],proc_exc!A:E,5,0),data[[#This Row],[proces default]]))</f>
        <v>-</v>
      </c>
    </row>
    <row r="9" spans="2:27" x14ac:dyDescent="0.3">
      <c r="B9" s="36"/>
      <c r="C9" s="32"/>
      <c r="J9" s="15" t="str">
        <f t="shared" si="6"/>
        <v xml:space="preserve"> </v>
      </c>
      <c r="K9" s="3" t="str">
        <f>IF(I9=0,"-",VALUE(LEFT(D9,LEN(D9)-(INDEX!$E$13-3))))</f>
        <v>-</v>
      </c>
      <c r="L9" s="5" t="str">
        <f>IF(I9=0,"-",VLOOKUP(K9,ucty_synt!A:B,2,0))</f>
        <v>-</v>
      </c>
      <c r="M9" s="15" t="str">
        <f>IF(S9="-","-",VLOOKUP(K9,ucty_synt!A:S,3,0))</f>
        <v>-</v>
      </c>
      <c r="N9" s="15" t="str">
        <f>IF(I9=0,"-",IF(M9="Rozvaha",VLOOKUP(S9,'radky_R'!A:O,6,0),IF(M9="Výsledovka",VLOOKUP(S9,'radky_V'!A:M,6,0),"-")))</f>
        <v>-</v>
      </c>
      <c r="O9" s="3" t="str">
        <f>IF(I9=0,"-",IF(COUNTIF(ucty_synt!A:A,K9)=0,"účet n/a",IF(VLOOKUP(K9,ucty_synt!A:S,4,0)=RIGHT($P$1,5),"podle AÚ",IF(VLOOKUP(K9,ucty_synt!A:S,4,0)=RIGHT($Q$1,5),"podle SÚ",IF(SUMIF(ucty_synt!A:A,K9,ucty_synt!E:E)&lt;&gt;0,VLOOKUP(K9,ucty_synt!A:T,5,0),"doplnit")))))</f>
        <v>-</v>
      </c>
      <c r="P9" s="3" t="str">
        <f>IF(I9=0,"-",IF(VLOOKUP(K9,ucty_synt!A:S,4,0)=RIGHT($P$1,5),IF(SUMIFS(I:I,C:C,C9,D:D,D9)&gt;=0,VLOOKUP(K9,ucty_synt!A:E,5,0),VLOOKUP(K9,ucty_synt!A:L,12,0)),"-"))</f>
        <v>-</v>
      </c>
      <c r="Q9" s="3" t="str">
        <f>IF(I9=0,"-",IF(VLOOKUP(K9,ucty_synt!A:S,4,0)=RIGHT($Q$1,5),IF(SUMIFS(I:I,C:C,C9,K:K,K9)&gt;=0,VLOOKUP(K9,ucty_synt!A:E,5,0),VLOOKUP(K9,ucty_synt!A:L,12,0)),"-"))</f>
        <v>-</v>
      </c>
      <c r="R9" s="459"/>
      <c r="S9" s="8" t="str">
        <f t="shared" si="7"/>
        <v>-</v>
      </c>
      <c r="T9" s="15" t="str">
        <f>IF(S9="-","-",IF(M9="Rozvaha",VLOOKUP(S9,'radky_R'!A:O,14,0),IF(M9="Výsledovka",VLOOKUP(S9,'radky_V'!A:M,12,0),"-")))</f>
        <v>-</v>
      </c>
      <c r="U9" s="20" t="str">
        <f>IF(I9=0,"-",IF(M9="Rozvaha",VLOOKUP(S9,'radky_R'!A:O,8,0),IF(M9="Výsledovka",VLOOKUP(S9,'radky_V'!A:M,8,0),"-")))</f>
        <v>-</v>
      </c>
      <c r="V9" s="20" t="str">
        <f>IF(I9=0,"-",IF(M9="Rozvaha",VLOOKUP(S9,'radky_R'!A:O,9,0),IF(M9="Výsledovka",VLOOKUP(S9,'radky_V'!A:M,9,0),"-")))</f>
        <v>-</v>
      </c>
      <c r="W9" s="104" t="str">
        <f>IF(I9=0,"-",IF(M9="Rozvaha",VLOOKUP(S9,'radky_R'!A:O,15,0),IF(M9="Výsledovka",VLOOKUP(S9,'radky_V'!A:M,11,0),"-")))</f>
        <v>-</v>
      </c>
      <c r="X9" s="5" t="str">
        <f>IF(I9=0,"-",VLOOKUP(K9,ucty_synt!A:S,19,0))</f>
        <v>-</v>
      </c>
      <c r="Y9" s="6">
        <f t="shared" si="8"/>
        <v>0</v>
      </c>
      <c r="Z9" s="650" t="str">
        <f>IF(data[[#This Row],[uc_synt]]="-","-",VLOOKUP(data[[#This Row],[uc_synt]],ucty_synt!A:T,20,0))</f>
        <v>-</v>
      </c>
      <c r="AA9" s="650" t="str">
        <f>IF(COUNTIF(proc_exc!A:A,data[[#This Row],[ucet]])&gt;1,"chyba v proc_exc!",IF(COUNTIF(proc_exc!A:A,data[[#This Row],[ucet]])=1,VLOOKUP(data[[#This Row],[ucet]],proc_exc!A:E,5,0),data[[#This Row],[proces default]]))</f>
        <v>-</v>
      </c>
    </row>
    <row r="10" spans="2:27" x14ac:dyDescent="0.3">
      <c r="B10" s="36"/>
      <c r="C10" s="32"/>
      <c r="J10" s="15" t="str">
        <f t="shared" si="6"/>
        <v xml:space="preserve"> </v>
      </c>
      <c r="K10" s="3" t="str">
        <f>IF(I10=0,"-",VALUE(LEFT(D10,LEN(D10)-(INDEX!$E$13-3))))</f>
        <v>-</v>
      </c>
      <c r="L10" s="5" t="str">
        <f>IF(I10=0,"-",VLOOKUP(K10,ucty_synt!A:B,2,0))</f>
        <v>-</v>
      </c>
      <c r="M10" s="15" t="str">
        <f>IF(S10="-","-",VLOOKUP(K10,ucty_synt!A:S,3,0))</f>
        <v>-</v>
      </c>
      <c r="N10" s="15" t="str">
        <f>IF(I10=0,"-",IF(M10="Rozvaha",VLOOKUP(S10,'radky_R'!A:O,6,0),IF(M10="Výsledovka",VLOOKUP(S10,'radky_V'!A:M,6,0),"-")))</f>
        <v>-</v>
      </c>
      <c r="O10" s="3" t="str">
        <f>IF(I10=0,"-",IF(COUNTIF(ucty_synt!A:A,K10)=0,"účet n/a",IF(VLOOKUP(K10,ucty_synt!A:S,4,0)=RIGHT($P$1,5),"podle AÚ",IF(VLOOKUP(K10,ucty_synt!A:S,4,0)=RIGHT($Q$1,5),"podle SÚ",IF(SUMIF(ucty_synt!A:A,K10,ucty_synt!E:E)&lt;&gt;0,VLOOKUP(K10,ucty_synt!A:T,5,0),"doplnit")))))</f>
        <v>-</v>
      </c>
      <c r="P10" s="3" t="str">
        <f>IF(I10=0,"-",IF(VLOOKUP(K10,ucty_synt!A:S,4,0)=RIGHT($P$1,5),IF(SUMIFS(I:I,C:C,C10,D:D,D10)&gt;=0,VLOOKUP(K10,ucty_synt!A:E,5,0),VLOOKUP(K10,ucty_synt!A:L,12,0)),"-"))</f>
        <v>-</v>
      </c>
      <c r="Q10" s="3" t="str">
        <f>IF(I10=0,"-",IF(VLOOKUP(K10,ucty_synt!A:S,4,0)=RIGHT($Q$1,5),IF(SUMIFS(I:I,C:C,C10,K:K,K10)&gt;=0,VLOOKUP(K10,ucty_synt!A:E,5,0),VLOOKUP(K10,ucty_synt!A:L,12,0)),"-"))</f>
        <v>-</v>
      </c>
      <c r="R10" s="459"/>
      <c r="S10" s="8" t="str">
        <f t="shared" si="7"/>
        <v>-</v>
      </c>
      <c r="T10" s="15" t="str">
        <f>IF(S10="-","-",IF(M10="Rozvaha",VLOOKUP(S10,'radky_R'!A:O,14,0),IF(M10="Výsledovka",VLOOKUP(S10,'radky_V'!A:M,12,0),"-")))</f>
        <v>-</v>
      </c>
      <c r="U10" s="20" t="str">
        <f>IF(I10=0,"-",IF(M10="Rozvaha",VLOOKUP(S10,'radky_R'!A:O,8,0),IF(M10="Výsledovka",VLOOKUP(S10,'radky_V'!A:M,8,0),"-")))</f>
        <v>-</v>
      </c>
      <c r="V10" s="20" t="str">
        <f>IF(I10=0,"-",IF(M10="Rozvaha",VLOOKUP(S10,'radky_R'!A:O,9,0),IF(M10="Výsledovka",VLOOKUP(S10,'radky_V'!A:M,9,0),"-")))</f>
        <v>-</v>
      </c>
      <c r="W10" s="104" t="str">
        <f>IF(I10=0,"-",IF(M10="Rozvaha",VLOOKUP(S10,'radky_R'!A:O,15,0),IF(M10="Výsledovka",VLOOKUP(S10,'radky_V'!A:M,11,0),"-")))</f>
        <v>-</v>
      </c>
      <c r="X10" s="5" t="str">
        <f>IF(I10=0,"-",VLOOKUP(K10,ucty_synt!A:S,19,0))</f>
        <v>-</v>
      </c>
      <c r="Y10" s="6">
        <f t="shared" si="8"/>
        <v>0</v>
      </c>
      <c r="Z10" s="650" t="str">
        <f>IF(data[[#This Row],[uc_synt]]="-","-",VLOOKUP(data[[#This Row],[uc_synt]],ucty_synt!A:T,20,0))</f>
        <v>-</v>
      </c>
      <c r="AA10" s="650" t="str">
        <f>IF(COUNTIF(proc_exc!A:A,data[[#This Row],[ucet]])&gt;1,"chyba v proc_exc!",IF(COUNTIF(proc_exc!A:A,data[[#This Row],[ucet]])=1,VLOOKUP(data[[#This Row],[ucet]],proc_exc!A:E,5,0),data[[#This Row],[proces default]]))</f>
        <v>-</v>
      </c>
    </row>
    <row r="11" spans="2:27" x14ac:dyDescent="0.3">
      <c r="B11" s="36"/>
      <c r="C11" s="32"/>
      <c r="J11" s="15" t="str">
        <f t="shared" si="6"/>
        <v xml:space="preserve"> </v>
      </c>
      <c r="K11" s="3" t="str">
        <f>IF(I11=0,"-",VALUE(LEFT(D11,LEN(D11)-(INDEX!$E$13-3))))</f>
        <v>-</v>
      </c>
      <c r="L11" s="5" t="str">
        <f>IF(I11=0,"-",VLOOKUP(K11,ucty_synt!A:B,2,0))</f>
        <v>-</v>
      </c>
      <c r="M11" s="15" t="str">
        <f>IF(S11="-","-",VLOOKUP(K11,ucty_synt!A:S,3,0))</f>
        <v>-</v>
      </c>
      <c r="N11" s="15" t="str">
        <f>IF(I11=0,"-",IF(M11="Rozvaha",VLOOKUP(S11,'radky_R'!A:O,6,0),IF(M11="Výsledovka",VLOOKUP(S11,'radky_V'!A:M,6,0),"-")))</f>
        <v>-</v>
      </c>
      <c r="O11" s="3" t="str">
        <f>IF(I11=0,"-",IF(COUNTIF(ucty_synt!A:A,K11)=0,"účet n/a",IF(VLOOKUP(K11,ucty_synt!A:S,4,0)=RIGHT($P$1,5),"podle AÚ",IF(VLOOKUP(K11,ucty_synt!A:S,4,0)=RIGHT($Q$1,5),"podle SÚ",IF(SUMIF(ucty_synt!A:A,K11,ucty_synt!E:E)&lt;&gt;0,VLOOKUP(K11,ucty_synt!A:T,5,0),"doplnit")))))</f>
        <v>-</v>
      </c>
      <c r="P11" s="3" t="str">
        <f>IF(I11=0,"-",IF(VLOOKUP(K11,ucty_synt!A:S,4,0)=RIGHT($P$1,5),IF(SUMIFS(I:I,C:C,C11,D:D,D11)&gt;=0,VLOOKUP(K11,ucty_synt!A:E,5,0),VLOOKUP(K11,ucty_synt!A:L,12,0)),"-"))</f>
        <v>-</v>
      </c>
      <c r="Q11" s="3" t="str">
        <f>IF(I11=0,"-",IF(VLOOKUP(K11,ucty_synt!A:S,4,0)=RIGHT($Q$1,5),IF(SUMIFS(I:I,C:C,C11,K:K,K11)&gt;=0,VLOOKUP(K11,ucty_synt!A:E,5,0),VLOOKUP(K11,ucty_synt!A:L,12,0)),"-"))</f>
        <v>-</v>
      </c>
      <c r="R11" s="459"/>
      <c r="S11" s="8" t="str">
        <f t="shared" si="7"/>
        <v>-</v>
      </c>
      <c r="T11" s="15" t="str">
        <f>IF(S11="-","-",IF(M11="Rozvaha",VLOOKUP(S11,'radky_R'!A:O,14,0),IF(M11="Výsledovka",VLOOKUP(S11,'radky_V'!A:M,12,0),"-")))</f>
        <v>-</v>
      </c>
      <c r="U11" s="20" t="str">
        <f>IF(I11=0,"-",IF(M11="Rozvaha",VLOOKUP(S11,'radky_R'!A:O,8,0),IF(M11="Výsledovka",VLOOKUP(S11,'radky_V'!A:M,8,0),"-")))</f>
        <v>-</v>
      </c>
      <c r="V11" s="20" t="str">
        <f>IF(I11=0,"-",IF(M11="Rozvaha",VLOOKUP(S11,'radky_R'!A:O,9,0),IF(M11="Výsledovka",VLOOKUP(S11,'radky_V'!A:M,9,0),"-")))</f>
        <v>-</v>
      </c>
      <c r="W11" s="104" t="str">
        <f>IF(I11=0,"-",IF(M11="Rozvaha",VLOOKUP(S11,'radky_R'!A:O,15,0),IF(M11="Výsledovka",VLOOKUP(S11,'radky_V'!A:M,11,0),"-")))</f>
        <v>-</v>
      </c>
      <c r="X11" s="5" t="str">
        <f>IF(I11=0,"-",VLOOKUP(K11,ucty_synt!A:S,19,0))</f>
        <v>-</v>
      </c>
      <c r="Y11" s="6">
        <f t="shared" si="8"/>
        <v>0</v>
      </c>
      <c r="Z11" s="650" t="str">
        <f>IF(data[[#This Row],[uc_synt]]="-","-",VLOOKUP(data[[#This Row],[uc_synt]],ucty_synt!A:T,20,0))</f>
        <v>-</v>
      </c>
      <c r="AA11" s="650" t="str">
        <f>IF(COUNTIF(proc_exc!A:A,data[[#This Row],[ucet]])&gt;1,"chyba v proc_exc!",IF(COUNTIF(proc_exc!A:A,data[[#This Row],[ucet]])=1,VLOOKUP(data[[#This Row],[ucet]],proc_exc!A:E,5,0),data[[#This Row],[proces default]]))</f>
        <v>-</v>
      </c>
    </row>
    <row r="12" spans="2:27" x14ac:dyDescent="0.3">
      <c r="B12" s="36"/>
      <c r="C12" s="32"/>
      <c r="J12" s="15" t="str">
        <f t="shared" si="6"/>
        <v xml:space="preserve"> </v>
      </c>
      <c r="K12" s="3" t="str">
        <f>IF(I12=0,"-",VALUE(LEFT(D12,LEN(D12)-(INDEX!$E$13-3))))</f>
        <v>-</v>
      </c>
      <c r="L12" s="5" t="str">
        <f>IF(I12=0,"-",VLOOKUP(K12,ucty_synt!A:B,2,0))</f>
        <v>-</v>
      </c>
      <c r="M12" s="15" t="str">
        <f>IF(S12="-","-",VLOOKUP(K12,ucty_synt!A:S,3,0))</f>
        <v>-</v>
      </c>
      <c r="N12" s="15" t="str">
        <f>IF(I12=0,"-",IF(M12="Rozvaha",VLOOKUP(S12,'radky_R'!A:O,6,0),IF(M12="Výsledovka",VLOOKUP(S12,'radky_V'!A:M,6,0),"-")))</f>
        <v>-</v>
      </c>
      <c r="O12" s="3" t="str">
        <f>IF(I12=0,"-",IF(COUNTIF(ucty_synt!A:A,K12)=0,"účet n/a",IF(VLOOKUP(K12,ucty_synt!A:S,4,0)=RIGHT($P$1,5),"podle AÚ",IF(VLOOKUP(K12,ucty_synt!A:S,4,0)=RIGHT($Q$1,5),"podle SÚ",IF(SUMIF(ucty_synt!A:A,K12,ucty_synt!E:E)&lt;&gt;0,VLOOKUP(K12,ucty_synt!A:T,5,0),"doplnit")))))</f>
        <v>-</v>
      </c>
      <c r="P12" s="3" t="str">
        <f>IF(I12=0,"-",IF(VLOOKUP(K12,ucty_synt!A:S,4,0)=RIGHT($P$1,5),IF(SUMIFS(I:I,C:C,C12,D:D,D12)&gt;=0,VLOOKUP(K12,ucty_synt!A:E,5,0),VLOOKUP(K12,ucty_synt!A:L,12,0)),"-"))</f>
        <v>-</v>
      </c>
      <c r="Q12" s="3" t="str">
        <f>IF(I12=0,"-",IF(VLOOKUP(K12,ucty_synt!A:S,4,0)=RIGHT($Q$1,5),IF(SUMIFS(I:I,C:C,C12,K:K,K12)&gt;=0,VLOOKUP(K12,ucty_synt!A:E,5,0),VLOOKUP(K12,ucty_synt!A:L,12,0)),"-"))</f>
        <v>-</v>
      </c>
      <c r="R12" s="459"/>
      <c r="S12" s="8" t="str">
        <f t="shared" si="7"/>
        <v>-</v>
      </c>
      <c r="T12" s="15" t="str">
        <f>IF(S12="-","-",IF(M12="Rozvaha",VLOOKUP(S12,'radky_R'!A:O,14,0),IF(M12="Výsledovka",VLOOKUP(S12,'radky_V'!A:M,12,0),"-")))</f>
        <v>-</v>
      </c>
      <c r="U12" s="20" t="str">
        <f>IF(I12=0,"-",IF(M12="Rozvaha",VLOOKUP(S12,'radky_R'!A:O,8,0),IF(M12="Výsledovka",VLOOKUP(S12,'radky_V'!A:M,8,0),"-")))</f>
        <v>-</v>
      </c>
      <c r="V12" s="20" t="str">
        <f>IF(I12=0,"-",IF(M12="Rozvaha",VLOOKUP(S12,'radky_R'!A:O,9,0),IF(M12="Výsledovka",VLOOKUP(S12,'radky_V'!A:M,9,0),"-")))</f>
        <v>-</v>
      </c>
      <c r="W12" s="104" t="str">
        <f>IF(I12=0,"-",IF(M12="Rozvaha",VLOOKUP(S12,'radky_R'!A:O,15,0),IF(M12="Výsledovka",VLOOKUP(S12,'radky_V'!A:M,11,0),"-")))</f>
        <v>-</v>
      </c>
      <c r="X12" s="5" t="str">
        <f>IF(I12=0,"-",VLOOKUP(K12,ucty_synt!A:S,19,0))</f>
        <v>-</v>
      </c>
      <c r="Y12" s="6">
        <f t="shared" si="8"/>
        <v>0</v>
      </c>
      <c r="Z12" s="650" t="str">
        <f>IF(data[[#This Row],[uc_synt]]="-","-",VLOOKUP(data[[#This Row],[uc_synt]],ucty_synt!A:T,20,0))</f>
        <v>-</v>
      </c>
      <c r="AA12" s="650" t="str">
        <f>IF(COUNTIF(proc_exc!A:A,data[[#This Row],[ucet]])&gt;1,"chyba v proc_exc!",IF(COUNTIF(proc_exc!A:A,data[[#This Row],[ucet]])=1,VLOOKUP(data[[#This Row],[ucet]],proc_exc!A:E,5,0),data[[#This Row],[proces default]]))</f>
        <v>-</v>
      </c>
    </row>
    <row r="13" spans="2:27" x14ac:dyDescent="0.3">
      <c r="B13" s="36"/>
      <c r="C13" s="32"/>
      <c r="J13" s="15" t="str">
        <f t="shared" si="6"/>
        <v xml:space="preserve"> </v>
      </c>
      <c r="K13" s="3" t="str">
        <f>IF(I13=0,"-",VALUE(LEFT(D13,LEN(D13)-(INDEX!$E$13-3))))</f>
        <v>-</v>
      </c>
      <c r="L13" s="5" t="str">
        <f>IF(I13=0,"-",VLOOKUP(K13,ucty_synt!A:B,2,0))</f>
        <v>-</v>
      </c>
      <c r="M13" s="15" t="str">
        <f>IF(S13="-","-",VLOOKUP(K13,ucty_synt!A:S,3,0))</f>
        <v>-</v>
      </c>
      <c r="N13" s="15" t="str">
        <f>IF(I13=0,"-",IF(M13="Rozvaha",VLOOKUP(S13,'radky_R'!A:O,6,0),IF(M13="Výsledovka",VLOOKUP(S13,'radky_V'!A:M,6,0),"-")))</f>
        <v>-</v>
      </c>
      <c r="O13" s="3" t="str">
        <f>IF(I13=0,"-",IF(COUNTIF(ucty_synt!A:A,K13)=0,"účet n/a",IF(VLOOKUP(K13,ucty_synt!A:S,4,0)=RIGHT($P$1,5),"podle AÚ",IF(VLOOKUP(K13,ucty_synt!A:S,4,0)=RIGHT($Q$1,5),"podle SÚ",IF(SUMIF(ucty_synt!A:A,K13,ucty_synt!E:E)&lt;&gt;0,VLOOKUP(K13,ucty_synt!A:T,5,0),"doplnit")))))</f>
        <v>-</v>
      </c>
      <c r="P13" s="3" t="str">
        <f>IF(I13=0,"-",IF(VLOOKUP(K13,ucty_synt!A:S,4,0)=RIGHT($P$1,5),IF(SUMIFS(I:I,C:C,C13,D:D,D13)&gt;=0,VLOOKUP(K13,ucty_synt!A:E,5,0),VLOOKUP(K13,ucty_synt!A:L,12,0)),"-"))</f>
        <v>-</v>
      </c>
      <c r="Q13" s="3" t="str">
        <f>IF(I13=0,"-",IF(VLOOKUP(K13,ucty_synt!A:S,4,0)=RIGHT($Q$1,5),IF(SUMIFS(I:I,C:C,C13,K:K,K13)&gt;=0,VLOOKUP(K13,ucty_synt!A:E,5,0),VLOOKUP(K13,ucty_synt!A:L,12,0)),"-"))</f>
        <v>-</v>
      </c>
      <c r="R13" s="459"/>
      <c r="S13" s="8" t="str">
        <f t="shared" si="7"/>
        <v>-</v>
      </c>
      <c r="T13" s="15" t="str">
        <f>IF(S13="-","-",IF(M13="Rozvaha",VLOOKUP(S13,'radky_R'!A:O,14,0),IF(M13="Výsledovka",VLOOKUP(S13,'radky_V'!A:M,12,0),"-")))</f>
        <v>-</v>
      </c>
      <c r="U13" s="20" t="str">
        <f>IF(I13=0,"-",IF(M13="Rozvaha",VLOOKUP(S13,'radky_R'!A:O,8,0),IF(M13="Výsledovka",VLOOKUP(S13,'radky_V'!A:M,8,0),"-")))</f>
        <v>-</v>
      </c>
      <c r="V13" s="20" t="str">
        <f>IF(I13=0,"-",IF(M13="Rozvaha",VLOOKUP(S13,'radky_R'!A:O,9,0),IF(M13="Výsledovka",VLOOKUP(S13,'radky_V'!A:M,9,0),"-")))</f>
        <v>-</v>
      </c>
      <c r="W13" s="104" t="str">
        <f>IF(I13=0,"-",IF(M13="Rozvaha",VLOOKUP(S13,'radky_R'!A:O,15,0),IF(M13="Výsledovka",VLOOKUP(S13,'radky_V'!A:M,11,0),"-")))</f>
        <v>-</v>
      </c>
      <c r="X13" s="5" t="str">
        <f>IF(I13=0,"-",VLOOKUP(K13,ucty_synt!A:S,19,0))</f>
        <v>-</v>
      </c>
      <c r="Y13" s="6">
        <f t="shared" si="8"/>
        <v>0</v>
      </c>
      <c r="Z13" s="650" t="str">
        <f>IF(data[[#This Row],[uc_synt]]="-","-",VLOOKUP(data[[#This Row],[uc_synt]],ucty_synt!A:T,20,0))</f>
        <v>-</v>
      </c>
      <c r="AA13" s="650" t="str">
        <f>IF(COUNTIF(proc_exc!A:A,data[[#This Row],[ucet]])&gt;1,"chyba v proc_exc!",IF(COUNTIF(proc_exc!A:A,data[[#This Row],[ucet]])=1,VLOOKUP(data[[#This Row],[ucet]],proc_exc!A:E,5,0),data[[#This Row],[proces default]]))</f>
        <v>-</v>
      </c>
    </row>
    <row r="14" spans="2:27" x14ac:dyDescent="0.3">
      <c r="B14" s="36"/>
      <c r="C14" s="32"/>
      <c r="J14" s="15" t="str">
        <f t="shared" si="6"/>
        <v xml:space="preserve"> </v>
      </c>
      <c r="K14" s="3" t="str">
        <f>IF(I14=0,"-",VALUE(LEFT(D14,LEN(D14)-(INDEX!$E$13-3))))</f>
        <v>-</v>
      </c>
      <c r="L14" s="5" t="str">
        <f>IF(I14=0,"-",VLOOKUP(K14,ucty_synt!A:B,2,0))</f>
        <v>-</v>
      </c>
      <c r="M14" s="15" t="str">
        <f>IF(S14="-","-",VLOOKUP(K14,ucty_synt!A:S,3,0))</f>
        <v>-</v>
      </c>
      <c r="N14" s="15" t="str">
        <f>IF(I14=0,"-",IF(M14="Rozvaha",VLOOKUP(S14,'radky_R'!A:O,6,0),IF(M14="Výsledovka",VLOOKUP(S14,'radky_V'!A:M,6,0),"-")))</f>
        <v>-</v>
      </c>
      <c r="O14" s="3" t="str">
        <f>IF(I14=0,"-",IF(COUNTIF(ucty_synt!A:A,K14)=0,"účet n/a",IF(VLOOKUP(K14,ucty_synt!A:S,4,0)=RIGHT($P$1,5),"podle AÚ",IF(VLOOKUP(K14,ucty_synt!A:S,4,0)=RIGHT($Q$1,5),"podle SÚ",IF(SUMIF(ucty_synt!A:A,K14,ucty_synt!E:E)&lt;&gt;0,VLOOKUP(K14,ucty_synt!A:T,5,0),"doplnit")))))</f>
        <v>-</v>
      </c>
      <c r="P14" s="3" t="str">
        <f>IF(I14=0,"-",IF(VLOOKUP(K14,ucty_synt!A:S,4,0)=RIGHT($P$1,5),IF(SUMIFS(I:I,C:C,C14,D:D,D14)&gt;=0,VLOOKUP(K14,ucty_synt!A:E,5,0),VLOOKUP(K14,ucty_synt!A:L,12,0)),"-"))</f>
        <v>-</v>
      </c>
      <c r="Q14" s="3" t="str">
        <f>IF(I14=0,"-",IF(VLOOKUP(K14,ucty_synt!A:S,4,0)=RIGHT($Q$1,5),IF(SUMIFS(I:I,C:C,C14,K:K,K14)&gt;=0,VLOOKUP(K14,ucty_synt!A:E,5,0),VLOOKUP(K14,ucty_synt!A:L,12,0)),"-"))</f>
        <v>-</v>
      </c>
      <c r="R14" s="459"/>
      <c r="S14" s="8" t="str">
        <f t="shared" si="7"/>
        <v>-</v>
      </c>
      <c r="T14" s="15" t="str">
        <f>IF(S14="-","-",IF(M14="Rozvaha",VLOOKUP(S14,'radky_R'!A:O,14,0),IF(M14="Výsledovka",VLOOKUP(S14,'radky_V'!A:M,12,0),"-")))</f>
        <v>-</v>
      </c>
      <c r="U14" s="20" t="str">
        <f>IF(I14=0,"-",IF(M14="Rozvaha",VLOOKUP(S14,'radky_R'!A:O,8,0),IF(M14="Výsledovka",VLOOKUP(S14,'radky_V'!A:M,8,0),"-")))</f>
        <v>-</v>
      </c>
      <c r="V14" s="20" t="str">
        <f>IF(I14=0,"-",IF(M14="Rozvaha",VLOOKUP(S14,'radky_R'!A:O,9,0),IF(M14="Výsledovka",VLOOKUP(S14,'radky_V'!A:M,9,0),"-")))</f>
        <v>-</v>
      </c>
      <c r="W14" s="104" t="str">
        <f>IF(I14=0,"-",IF(M14="Rozvaha",VLOOKUP(S14,'radky_R'!A:O,15,0),IF(M14="Výsledovka",VLOOKUP(S14,'radky_V'!A:M,11,0),"-")))</f>
        <v>-</v>
      </c>
      <c r="X14" s="5" t="str">
        <f>IF(I14=0,"-",VLOOKUP(K14,ucty_synt!A:S,19,0))</f>
        <v>-</v>
      </c>
      <c r="Y14" s="6">
        <f t="shared" si="8"/>
        <v>0</v>
      </c>
      <c r="Z14" s="650" t="str">
        <f>IF(data[[#This Row],[uc_synt]]="-","-",VLOOKUP(data[[#This Row],[uc_synt]],ucty_synt!A:T,20,0))</f>
        <v>-</v>
      </c>
      <c r="AA14" s="650" t="str">
        <f>IF(COUNTIF(proc_exc!A:A,data[[#This Row],[ucet]])&gt;1,"chyba v proc_exc!",IF(COUNTIF(proc_exc!A:A,data[[#This Row],[ucet]])=1,VLOOKUP(data[[#This Row],[ucet]],proc_exc!A:E,5,0),data[[#This Row],[proces default]]))</f>
        <v>-</v>
      </c>
    </row>
    <row r="15" spans="2:27" x14ac:dyDescent="0.3">
      <c r="B15" s="36"/>
      <c r="C15" s="32"/>
      <c r="J15" s="15" t="str">
        <f t="shared" si="6"/>
        <v xml:space="preserve"> </v>
      </c>
      <c r="K15" s="3" t="str">
        <f>IF(I15=0,"-",VALUE(LEFT(D15,LEN(D15)-(INDEX!$E$13-3))))</f>
        <v>-</v>
      </c>
      <c r="L15" s="5" t="str">
        <f>IF(I15=0,"-",VLOOKUP(K15,ucty_synt!A:B,2,0))</f>
        <v>-</v>
      </c>
      <c r="M15" s="15" t="str">
        <f>IF(S15="-","-",VLOOKUP(K15,ucty_synt!A:S,3,0))</f>
        <v>-</v>
      </c>
      <c r="N15" s="15" t="str">
        <f>IF(I15=0,"-",IF(M15="Rozvaha",VLOOKUP(S15,'radky_R'!A:O,6,0),IF(M15="Výsledovka",VLOOKUP(S15,'radky_V'!A:M,6,0),"-")))</f>
        <v>-</v>
      </c>
      <c r="O15" s="3" t="str">
        <f>IF(I15=0,"-",IF(COUNTIF(ucty_synt!A:A,K15)=0,"účet n/a",IF(VLOOKUP(K15,ucty_synt!A:S,4,0)=RIGHT($P$1,5),"podle AÚ",IF(VLOOKUP(K15,ucty_synt!A:S,4,0)=RIGHT($Q$1,5),"podle SÚ",IF(SUMIF(ucty_synt!A:A,K15,ucty_synt!E:E)&lt;&gt;0,VLOOKUP(K15,ucty_synt!A:T,5,0),"doplnit")))))</f>
        <v>-</v>
      </c>
      <c r="P15" s="3" t="str">
        <f>IF(I15=0,"-",IF(VLOOKUP(K15,ucty_synt!A:S,4,0)=RIGHT($P$1,5),IF(SUMIFS(I:I,C:C,C15,D:D,D15)&gt;=0,VLOOKUP(K15,ucty_synt!A:E,5,0),VLOOKUP(K15,ucty_synt!A:L,12,0)),"-"))</f>
        <v>-</v>
      </c>
      <c r="Q15" s="3" t="str">
        <f>IF(I15=0,"-",IF(VLOOKUP(K15,ucty_synt!A:S,4,0)=RIGHT($Q$1,5),IF(SUMIFS(I:I,C:C,C15,K:K,K15)&gt;=0,VLOOKUP(K15,ucty_synt!A:E,5,0),VLOOKUP(K15,ucty_synt!A:L,12,0)),"-"))</f>
        <v>-</v>
      </c>
      <c r="R15" s="459"/>
      <c r="S15" s="8" t="str">
        <f t="shared" si="7"/>
        <v>-</v>
      </c>
      <c r="T15" s="15" t="str">
        <f>IF(S15="-","-",IF(M15="Rozvaha",VLOOKUP(S15,'radky_R'!A:O,14,0),IF(M15="Výsledovka",VLOOKUP(S15,'radky_V'!A:M,12,0),"-")))</f>
        <v>-</v>
      </c>
      <c r="U15" s="20" t="str">
        <f>IF(I15=0,"-",IF(M15="Rozvaha",VLOOKUP(S15,'radky_R'!A:O,8,0),IF(M15="Výsledovka",VLOOKUP(S15,'radky_V'!A:M,8,0),"-")))</f>
        <v>-</v>
      </c>
      <c r="V15" s="20" t="str">
        <f>IF(I15=0,"-",IF(M15="Rozvaha",VLOOKUP(S15,'radky_R'!A:O,9,0),IF(M15="Výsledovka",VLOOKUP(S15,'radky_V'!A:M,9,0),"-")))</f>
        <v>-</v>
      </c>
      <c r="W15" s="104" t="str">
        <f>IF(I15=0,"-",IF(M15="Rozvaha",VLOOKUP(S15,'radky_R'!A:O,15,0),IF(M15="Výsledovka",VLOOKUP(S15,'radky_V'!A:M,11,0),"-")))</f>
        <v>-</v>
      </c>
      <c r="X15" s="5" t="str">
        <f>IF(I15=0,"-",VLOOKUP(K15,ucty_synt!A:S,19,0))</f>
        <v>-</v>
      </c>
      <c r="Y15" s="6">
        <f t="shared" si="8"/>
        <v>0</v>
      </c>
      <c r="Z15" s="650" t="str">
        <f>IF(data[[#This Row],[uc_synt]]="-","-",VLOOKUP(data[[#This Row],[uc_synt]],ucty_synt!A:T,20,0))</f>
        <v>-</v>
      </c>
      <c r="AA15" s="650" t="str">
        <f>IF(COUNTIF(proc_exc!A:A,data[[#This Row],[ucet]])&gt;1,"chyba v proc_exc!",IF(COUNTIF(proc_exc!A:A,data[[#This Row],[ucet]])=1,VLOOKUP(data[[#This Row],[ucet]],proc_exc!A:E,5,0),data[[#This Row],[proces default]]))</f>
        <v>-</v>
      </c>
    </row>
    <row r="16" spans="2:27" x14ac:dyDescent="0.3">
      <c r="B16" s="36"/>
      <c r="C16" s="32"/>
      <c r="J16" s="15" t="str">
        <f t="shared" si="6"/>
        <v xml:space="preserve"> </v>
      </c>
      <c r="K16" s="3" t="str">
        <f>IF(I16=0,"-",VALUE(LEFT(D16,LEN(D16)-(INDEX!$E$13-3))))</f>
        <v>-</v>
      </c>
      <c r="L16" s="5" t="str">
        <f>IF(I16=0,"-",VLOOKUP(K16,ucty_synt!A:B,2,0))</f>
        <v>-</v>
      </c>
      <c r="M16" s="15" t="str">
        <f>IF(S16="-","-",VLOOKUP(K16,ucty_synt!A:S,3,0))</f>
        <v>-</v>
      </c>
      <c r="N16" s="15" t="str">
        <f>IF(I16=0,"-",IF(M16="Rozvaha",VLOOKUP(S16,'radky_R'!A:O,6,0),IF(M16="Výsledovka",VLOOKUP(S16,'radky_V'!A:M,6,0),"-")))</f>
        <v>-</v>
      </c>
      <c r="O16" s="3" t="str">
        <f>IF(I16=0,"-",IF(COUNTIF(ucty_synt!A:A,K16)=0,"účet n/a",IF(VLOOKUP(K16,ucty_synt!A:S,4,0)=RIGHT($P$1,5),"podle AÚ",IF(VLOOKUP(K16,ucty_synt!A:S,4,0)=RIGHT($Q$1,5),"podle SÚ",IF(SUMIF(ucty_synt!A:A,K16,ucty_synt!E:E)&lt;&gt;0,VLOOKUP(K16,ucty_synt!A:T,5,0),"doplnit")))))</f>
        <v>-</v>
      </c>
      <c r="P16" s="3" t="str">
        <f>IF(I16=0,"-",IF(VLOOKUP(K16,ucty_synt!A:S,4,0)=RIGHT($P$1,5),IF(SUMIFS(I:I,C:C,C16,D:D,D16)&gt;=0,VLOOKUP(K16,ucty_synt!A:E,5,0),VLOOKUP(K16,ucty_synt!A:L,12,0)),"-"))</f>
        <v>-</v>
      </c>
      <c r="Q16" s="3" t="str">
        <f>IF(I16=0,"-",IF(VLOOKUP(K16,ucty_synt!A:S,4,0)=RIGHT($Q$1,5),IF(SUMIFS(I:I,C:C,C16,K:K,K16)&gt;=0,VLOOKUP(K16,ucty_synt!A:E,5,0),VLOOKUP(K16,ucty_synt!A:L,12,0)),"-"))</f>
        <v>-</v>
      </c>
      <c r="R16" s="459"/>
      <c r="S16" s="8" t="str">
        <f t="shared" si="7"/>
        <v>-</v>
      </c>
      <c r="T16" s="15" t="str">
        <f>IF(S16="-","-",IF(M16="Rozvaha",VLOOKUP(S16,'radky_R'!A:O,14,0),IF(M16="Výsledovka",VLOOKUP(S16,'radky_V'!A:M,12,0),"-")))</f>
        <v>-</v>
      </c>
      <c r="U16" s="20" t="str">
        <f>IF(I16=0,"-",IF(M16="Rozvaha",VLOOKUP(S16,'radky_R'!A:O,8,0),IF(M16="Výsledovka",VLOOKUP(S16,'radky_V'!A:M,8,0),"-")))</f>
        <v>-</v>
      </c>
      <c r="V16" s="20" t="str">
        <f>IF(I16=0,"-",IF(M16="Rozvaha",VLOOKUP(S16,'radky_R'!A:O,9,0),IF(M16="Výsledovka",VLOOKUP(S16,'radky_V'!A:M,9,0),"-")))</f>
        <v>-</v>
      </c>
      <c r="W16" s="104" t="str">
        <f>IF(I16=0,"-",IF(M16="Rozvaha",VLOOKUP(S16,'radky_R'!A:O,15,0),IF(M16="Výsledovka",VLOOKUP(S16,'radky_V'!A:M,11,0),"-")))</f>
        <v>-</v>
      </c>
      <c r="X16" s="5" t="str">
        <f>IF(I16=0,"-",VLOOKUP(K16,ucty_synt!A:S,19,0))</f>
        <v>-</v>
      </c>
      <c r="Y16" s="6">
        <f t="shared" si="8"/>
        <v>0</v>
      </c>
      <c r="Z16" s="650" t="str">
        <f>IF(data[[#This Row],[uc_synt]]="-","-",VLOOKUP(data[[#This Row],[uc_synt]],ucty_synt!A:T,20,0))</f>
        <v>-</v>
      </c>
      <c r="AA16" s="650" t="str">
        <f>IF(COUNTIF(proc_exc!A:A,data[[#This Row],[ucet]])&gt;1,"chyba v proc_exc!",IF(COUNTIF(proc_exc!A:A,data[[#This Row],[ucet]])=1,VLOOKUP(data[[#This Row],[ucet]],proc_exc!A:E,5,0),data[[#This Row],[proces default]]))</f>
        <v>-</v>
      </c>
    </row>
    <row r="17" spans="2:27" x14ac:dyDescent="0.3">
      <c r="B17" s="36"/>
      <c r="C17" s="32"/>
      <c r="J17" s="15" t="str">
        <f t="shared" si="6"/>
        <v xml:space="preserve"> </v>
      </c>
      <c r="K17" s="3" t="str">
        <f>IF(I17=0,"-",VALUE(LEFT(D17,LEN(D17)-(INDEX!$E$13-3))))</f>
        <v>-</v>
      </c>
      <c r="L17" s="5" t="str">
        <f>IF(I17=0,"-",VLOOKUP(K17,ucty_synt!A:B,2,0))</f>
        <v>-</v>
      </c>
      <c r="M17" s="15" t="str">
        <f>IF(S17="-","-",VLOOKUP(K17,ucty_synt!A:S,3,0))</f>
        <v>-</v>
      </c>
      <c r="N17" s="15" t="str">
        <f>IF(I17=0,"-",IF(M17="Rozvaha",VLOOKUP(S17,'radky_R'!A:O,6,0),IF(M17="Výsledovka",VLOOKUP(S17,'radky_V'!A:M,6,0),"-")))</f>
        <v>-</v>
      </c>
      <c r="O17" s="3" t="str">
        <f>IF(I17=0,"-",IF(COUNTIF(ucty_synt!A:A,K17)=0,"účet n/a",IF(VLOOKUP(K17,ucty_synt!A:S,4,0)=RIGHT($P$1,5),"podle AÚ",IF(VLOOKUP(K17,ucty_synt!A:S,4,0)=RIGHT($Q$1,5),"podle SÚ",IF(SUMIF(ucty_synt!A:A,K17,ucty_synt!E:E)&lt;&gt;0,VLOOKUP(K17,ucty_synt!A:T,5,0),"doplnit")))))</f>
        <v>-</v>
      </c>
      <c r="P17" s="3" t="str">
        <f>IF(I17=0,"-",IF(VLOOKUP(K17,ucty_synt!A:S,4,0)=RIGHT($P$1,5),IF(SUMIFS(I:I,C:C,C17,D:D,D17)&gt;=0,VLOOKUP(K17,ucty_synt!A:E,5,0),VLOOKUP(K17,ucty_synt!A:L,12,0)),"-"))</f>
        <v>-</v>
      </c>
      <c r="Q17" s="3" t="str">
        <f>IF(I17=0,"-",IF(VLOOKUP(K17,ucty_synt!A:S,4,0)=RIGHT($Q$1,5),IF(SUMIFS(I:I,C:C,C17,K:K,K17)&gt;=0,VLOOKUP(K17,ucty_synt!A:E,5,0),VLOOKUP(K17,ucty_synt!A:L,12,0)),"-"))</f>
        <v>-</v>
      </c>
      <c r="R17" s="459"/>
      <c r="S17" s="8" t="str">
        <f t="shared" si="7"/>
        <v>-</v>
      </c>
      <c r="T17" s="15" t="str">
        <f>IF(S17="-","-",IF(M17="Rozvaha",VLOOKUP(S17,'radky_R'!A:O,14,0),IF(M17="Výsledovka",VLOOKUP(S17,'radky_V'!A:M,12,0),"-")))</f>
        <v>-</v>
      </c>
      <c r="U17" s="20" t="str">
        <f>IF(I17=0,"-",IF(M17="Rozvaha",VLOOKUP(S17,'radky_R'!A:O,8,0),IF(M17="Výsledovka",VLOOKUP(S17,'radky_V'!A:M,8,0),"-")))</f>
        <v>-</v>
      </c>
      <c r="V17" s="20" t="str">
        <f>IF(I17=0,"-",IF(M17="Rozvaha",VLOOKUP(S17,'radky_R'!A:O,9,0),IF(M17="Výsledovka",VLOOKUP(S17,'radky_V'!A:M,9,0),"-")))</f>
        <v>-</v>
      </c>
      <c r="W17" s="104" t="str">
        <f>IF(I17=0,"-",IF(M17="Rozvaha",VLOOKUP(S17,'radky_R'!A:O,15,0),IF(M17="Výsledovka",VLOOKUP(S17,'radky_V'!A:M,11,0),"-")))</f>
        <v>-</v>
      </c>
      <c r="X17" s="5" t="str">
        <f>IF(I17=0,"-",VLOOKUP(K17,ucty_synt!A:S,19,0))</f>
        <v>-</v>
      </c>
      <c r="Y17" s="6">
        <f t="shared" si="8"/>
        <v>0</v>
      </c>
      <c r="Z17" s="650" t="str">
        <f>IF(data[[#This Row],[uc_synt]]="-","-",VLOOKUP(data[[#This Row],[uc_synt]],ucty_synt!A:T,20,0))</f>
        <v>-</v>
      </c>
      <c r="AA17" s="650" t="str">
        <f>IF(COUNTIF(proc_exc!A:A,data[[#This Row],[ucet]])&gt;1,"chyba v proc_exc!",IF(COUNTIF(proc_exc!A:A,data[[#This Row],[ucet]])=1,VLOOKUP(data[[#This Row],[ucet]],proc_exc!A:E,5,0),data[[#This Row],[proces default]]))</f>
        <v>-</v>
      </c>
    </row>
    <row r="18" spans="2:27" x14ac:dyDescent="0.3">
      <c r="B18" s="36"/>
      <c r="C18" s="32"/>
      <c r="J18" s="15" t="str">
        <f t="shared" si="6"/>
        <v xml:space="preserve"> </v>
      </c>
      <c r="K18" s="3" t="str">
        <f>IF(I18=0,"-",VALUE(LEFT(D18,LEN(D18)-(INDEX!$E$13-3))))</f>
        <v>-</v>
      </c>
      <c r="L18" s="5" t="str">
        <f>IF(I18=0,"-",VLOOKUP(K18,ucty_synt!A:B,2,0))</f>
        <v>-</v>
      </c>
      <c r="M18" s="15" t="str">
        <f>IF(S18="-","-",VLOOKUP(K18,ucty_synt!A:S,3,0))</f>
        <v>-</v>
      </c>
      <c r="N18" s="15" t="str">
        <f>IF(I18=0,"-",IF(M18="Rozvaha",VLOOKUP(S18,'radky_R'!A:O,6,0),IF(M18="Výsledovka",VLOOKUP(S18,'radky_V'!A:M,6,0),"-")))</f>
        <v>-</v>
      </c>
      <c r="O18" s="3" t="str">
        <f>IF(I18=0,"-",IF(COUNTIF(ucty_synt!A:A,K18)=0,"účet n/a",IF(VLOOKUP(K18,ucty_synt!A:S,4,0)=RIGHT($P$1,5),"podle AÚ",IF(VLOOKUP(K18,ucty_synt!A:S,4,0)=RIGHT($Q$1,5),"podle SÚ",IF(SUMIF(ucty_synt!A:A,K18,ucty_synt!E:E)&lt;&gt;0,VLOOKUP(K18,ucty_synt!A:T,5,0),"doplnit")))))</f>
        <v>-</v>
      </c>
      <c r="P18" s="3" t="str">
        <f>IF(I18=0,"-",IF(VLOOKUP(K18,ucty_synt!A:S,4,0)=RIGHT($P$1,5),IF(SUMIFS(I:I,C:C,C18,D:D,D18)&gt;=0,VLOOKUP(K18,ucty_synt!A:E,5,0),VLOOKUP(K18,ucty_synt!A:L,12,0)),"-"))</f>
        <v>-</v>
      </c>
      <c r="Q18" s="3" t="str">
        <f>IF(I18=0,"-",IF(VLOOKUP(K18,ucty_synt!A:S,4,0)=RIGHT($Q$1,5),IF(SUMIFS(I:I,C:C,C18,K:K,K18)&gt;=0,VLOOKUP(K18,ucty_synt!A:E,5,0),VLOOKUP(K18,ucty_synt!A:L,12,0)),"-"))</f>
        <v>-</v>
      </c>
      <c r="R18" s="459"/>
      <c r="S18" s="8" t="str">
        <f t="shared" si="7"/>
        <v>-</v>
      </c>
      <c r="T18" s="15" t="str">
        <f>IF(S18="-","-",IF(M18="Rozvaha",VLOOKUP(S18,'radky_R'!A:O,14,0),IF(M18="Výsledovka",VLOOKUP(S18,'radky_V'!A:M,12,0),"-")))</f>
        <v>-</v>
      </c>
      <c r="U18" s="20" t="str">
        <f>IF(I18=0,"-",IF(M18="Rozvaha",VLOOKUP(S18,'radky_R'!A:O,8,0),IF(M18="Výsledovka",VLOOKUP(S18,'radky_V'!A:M,8,0),"-")))</f>
        <v>-</v>
      </c>
      <c r="V18" s="20" t="str">
        <f>IF(I18=0,"-",IF(M18="Rozvaha",VLOOKUP(S18,'radky_R'!A:O,9,0),IF(M18="Výsledovka",VLOOKUP(S18,'radky_V'!A:M,9,0),"-")))</f>
        <v>-</v>
      </c>
      <c r="W18" s="104" t="str">
        <f>IF(I18=0,"-",IF(M18="Rozvaha",VLOOKUP(S18,'radky_R'!A:O,15,0),IF(M18="Výsledovka",VLOOKUP(S18,'radky_V'!A:M,11,0),"-")))</f>
        <v>-</v>
      </c>
      <c r="X18" s="5" t="str">
        <f>IF(I18=0,"-",VLOOKUP(K18,ucty_synt!A:S,19,0))</f>
        <v>-</v>
      </c>
      <c r="Y18" s="6">
        <f t="shared" si="8"/>
        <v>0</v>
      </c>
      <c r="Z18" s="650" t="str">
        <f>IF(data[[#This Row],[uc_synt]]="-","-",VLOOKUP(data[[#This Row],[uc_synt]],ucty_synt!A:T,20,0))</f>
        <v>-</v>
      </c>
      <c r="AA18" s="650" t="str">
        <f>IF(COUNTIF(proc_exc!A:A,data[[#This Row],[ucet]])&gt;1,"chyba v proc_exc!",IF(COUNTIF(proc_exc!A:A,data[[#This Row],[ucet]])=1,VLOOKUP(data[[#This Row],[ucet]],proc_exc!A:E,5,0),data[[#This Row],[proces default]]))</f>
        <v>-</v>
      </c>
    </row>
    <row r="19" spans="2:27" x14ac:dyDescent="0.3">
      <c r="B19" s="36"/>
      <c r="C19" s="32"/>
      <c r="J19" s="15" t="str">
        <f t="shared" si="6"/>
        <v xml:space="preserve"> </v>
      </c>
      <c r="K19" s="3" t="str">
        <f>IF(I19=0,"-",VALUE(LEFT(D19,LEN(D19)-(INDEX!$E$13-3))))</f>
        <v>-</v>
      </c>
      <c r="L19" s="5" t="str">
        <f>IF(I19=0,"-",VLOOKUP(K19,ucty_synt!A:B,2,0))</f>
        <v>-</v>
      </c>
      <c r="M19" s="15" t="str">
        <f>IF(S19="-","-",VLOOKUP(K19,ucty_synt!A:S,3,0))</f>
        <v>-</v>
      </c>
      <c r="N19" s="15" t="str">
        <f>IF(I19=0,"-",IF(M19="Rozvaha",VLOOKUP(S19,'radky_R'!A:O,6,0),IF(M19="Výsledovka",VLOOKUP(S19,'radky_V'!A:M,6,0),"-")))</f>
        <v>-</v>
      </c>
      <c r="O19" s="3" t="str">
        <f>IF(I19=0,"-",IF(COUNTIF(ucty_synt!A:A,K19)=0,"účet n/a",IF(VLOOKUP(K19,ucty_synt!A:S,4,0)=RIGHT($P$1,5),"podle AÚ",IF(VLOOKUP(K19,ucty_synt!A:S,4,0)=RIGHT($Q$1,5),"podle SÚ",IF(SUMIF(ucty_synt!A:A,K19,ucty_synt!E:E)&lt;&gt;0,VLOOKUP(K19,ucty_synt!A:T,5,0),"doplnit")))))</f>
        <v>-</v>
      </c>
      <c r="P19" s="3" t="str">
        <f>IF(I19=0,"-",IF(VLOOKUP(K19,ucty_synt!A:S,4,0)=RIGHT($P$1,5),IF(SUMIFS(I:I,C:C,C19,D:D,D19)&gt;=0,VLOOKUP(K19,ucty_synt!A:E,5,0),VLOOKUP(K19,ucty_synt!A:L,12,0)),"-"))</f>
        <v>-</v>
      </c>
      <c r="Q19" s="3" t="str">
        <f>IF(I19=0,"-",IF(VLOOKUP(K19,ucty_synt!A:S,4,0)=RIGHT($Q$1,5),IF(SUMIFS(I:I,C:C,C19,K:K,K19)&gt;=0,VLOOKUP(K19,ucty_synt!A:E,5,0),VLOOKUP(K19,ucty_synt!A:L,12,0)),"-"))</f>
        <v>-</v>
      </c>
      <c r="R19" s="459"/>
      <c r="S19" s="8" t="str">
        <f t="shared" si="7"/>
        <v>-</v>
      </c>
      <c r="T19" s="15" t="str">
        <f>IF(S19="-","-",IF(M19="Rozvaha",VLOOKUP(S19,'radky_R'!A:O,14,0),IF(M19="Výsledovka",VLOOKUP(S19,'radky_V'!A:M,12,0),"-")))</f>
        <v>-</v>
      </c>
      <c r="U19" s="20" t="str">
        <f>IF(I19=0,"-",IF(M19="Rozvaha",VLOOKUP(S19,'radky_R'!A:O,8,0),IF(M19="Výsledovka",VLOOKUP(S19,'radky_V'!A:M,8,0),"-")))</f>
        <v>-</v>
      </c>
      <c r="V19" s="20" t="str">
        <f>IF(I19=0,"-",IF(M19="Rozvaha",VLOOKUP(S19,'radky_R'!A:O,9,0),IF(M19="Výsledovka",VLOOKUP(S19,'radky_V'!A:M,9,0),"-")))</f>
        <v>-</v>
      </c>
      <c r="W19" s="104" t="str">
        <f>IF(I19=0,"-",IF(M19="Rozvaha",VLOOKUP(S19,'radky_R'!A:O,15,0),IF(M19="Výsledovka",VLOOKUP(S19,'radky_V'!A:M,11,0),"-")))</f>
        <v>-</v>
      </c>
      <c r="X19" s="5" t="str">
        <f>IF(I19=0,"-",VLOOKUP(K19,ucty_synt!A:S,19,0))</f>
        <v>-</v>
      </c>
      <c r="Y19" s="6">
        <f t="shared" si="8"/>
        <v>0</v>
      </c>
      <c r="Z19" s="650" t="str">
        <f>IF(data[[#This Row],[uc_synt]]="-","-",VLOOKUP(data[[#This Row],[uc_synt]],ucty_synt!A:T,20,0))</f>
        <v>-</v>
      </c>
      <c r="AA19" s="650" t="str">
        <f>IF(COUNTIF(proc_exc!A:A,data[[#This Row],[ucet]])&gt;1,"chyba v proc_exc!",IF(COUNTIF(proc_exc!A:A,data[[#This Row],[ucet]])=1,VLOOKUP(data[[#This Row],[ucet]],proc_exc!A:E,5,0),data[[#This Row],[proces default]]))</f>
        <v>-</v>
      </c>
    </row>
    <row r="20" spans="2:27" x14ac:dyDescent="0.3">
      <c r="B20" s="36"/>
      <c r="C20" s="32"/>
      <c r="J20" s="15" t="str">
        <f t="shared" si="6"/>
        <v xml:space="preserve"> </v>
      </c>
      <c r="K20" s="3" t="str">
        <f>IF(I20=0,"-",VALUE(LEFT(D20,LEN(D20)-(INDEX!$E$13-3))))</f>
        <v>-</v>
      </c>
      <c r="L20" s="5" t="str">
        <f>IF(I20=0,"-",VLOOKUP(K20,ucty_synt!A:B,2,0))</f>
        <v>-</v>
      </c>
      <c r="M20" s="15" t="str">
        <f>IF(S20="-","-",VLOOKUP(K20,ucty_synt!A:S,3,0))</f>
        <v>-</v>
      </c>
      <c r="N20" s="15" t="str">
        <f>IF(I20=0,"-",IF(M20="Rozvaha",VLOOKUP(S20,'radky_R'!A:O,6,0),IF(M20="Výsledovka",VLOOKUP(S20,'radky_V'!A:M,6,0),"-")))</f>
        <v>-</v>
      </c>
      <c r="O20" s="3" t="str">
        <f>IF(I20=0,"-",IF(COUNTIF(ucty_synt!A:A,K20)=0,"účet n/a",IF(VLOOKUP(K20,ucty_synt!A:S,4,0)=RIGHT($P$1,5),"podle AÚ",IF(VLOOKUP(K20,ucty_synt!A:S,4,0)=RIGHT($Q$1,5),"podle SÚ",IF(SUMIF(ucty_synt!A:A,K20,ucty_synt!E:E)&lt;&gt;0,VLOOKUP(K20,ucty_synt!A:T,5,0),"doplnit")))))</f>
        <v>-</v>
      </c>
      <c r="P20" s="3" t="str">
        <f>IF(I20=0,"-",IF(VLOOKUP(K20,ucty_synt!A:S,4,0)=RIGHT($P$1,5),IF(SUMIFS(I:I,C:C,C20,D:D,D20)&gt;=0,VLOOKUP(K20,ucty_synt!A:E,5,0),VLOOKUP(K20,ucty_synt!A:L,12,0)),"-"))</f>
        <v>-</v>
      </c>
      <c r="Q20" s="3" t="str">
        <f>IF(I20=0,"-",IF(VLOOKUP(K20,ucty_synt!A:S,4,0)=RIGHT($Q$1,5),IF(SUMIFS(I:I,C:C,C20,K:K,K20)&gt;=0,VLOOKUP(K20,ucty_synt!A:E,5,0),VLOOKUP(K20,ucty_synt!A:L,12,0)),"-"))</f>
        <v>-</v>
      </c>
      <c r="R20" s="459"/>
      <c r="S20" s="8" t="str">
        <f t="shared" si="7"/>
        <v>-</v>
      </c>
      <c r="T20" s="15" t="str">
        <f>IF(S20="-","-",IF(M20="Rozvaha",VLOOKUP(S20,'radky_R'!A:O,14,0),IF(M20="Výsledovka",VLOOKUP(S20,'radky_V'!A:M,12,0),"-")))</f>
        <v>-</v>
      </c>
      <c r="U20" s="20" t="str">
        <f>IF(I20=0,"-",IF(M20="Rozvaha",VLOOKUP(S20,'radky_R'!A:O,8,0),IF(M20="Výsledovka",VLOOKUP(S20,'radky_V'!A:M,8,0),"-")))</f>
        <v>-</v>
      </c>
      <c r="V20" s="20" t="str">
        <f>IF(I20=0,"-",IF(M20="Rozvaha",VLOOKUP(S20,'radky_R'!A:O,9,0),IF(M20="Výsledovka",VLOOKUP(S20,'radky_V'!A:M,9,0),"-")))</f>
        <v>-</v>
      </c>
      <c r="W20" s="104" t="str">
        <f>IF(I20=0,"-",IF(M20="Rozvaha",VLOOKUP(S20,'radky_R'!A:O,15,0),IF(M20="Výsledovka",VLOOKUP(S20,'radky_V'!A:M,11,0),"-")))</f>
        <v>-</v>
      </c>
      <c r="X20" s="5" t="str">
        <f>IF(I20=0,"-",VLOOKUP(K20,ucty_synt!A:S,19,0))</f>
        <v>-</v>
      </c>
      <c r="Y20" s="6">
        <f t="shared" si="8"/>
        <v>0</v>
      </c>
      <c r="Z20" s="650" t="str">
        <f>IF(data[[#This Row],[uc_synt]]="-","-",VLOOKUP(data[[#This Row],[uc_synt]],ucty_synt!A:T,20,0))</f>
        <v>-</v>
      </c>
      <c r="AA20" s="650" t="str">
        <f>IF(COUNTIF(proc_exc!A:A,data[[#This Row],[ucet]])&gt;1,"chyba v proc_exc!",IF(COUNTIF(proc_exc!A:A,data[[#This Row],[ucet]])=1,VLOOKUP(data[[#This Row],[ucet]],proc_exc!A:E,5,0),data[[#This Row],[proces default]]))</f>
        <v>-</v>
      </c>
    </row>
    <row r="21" spans="2:27" x14ac:dyDescent="0.3">
      <c r="B21" s="36"/>
      <c r="C21" s="32"/>
      <c r="J21" s="15" t="str">
        <f t="shared" si="6"/>
        <v xml:space="preserve"> </v>
      </c>
      <c r="K21" s="3" t="str">
        <f>IF(I21=0,"-",VALUE(LEFT(D21,LEN(D21)-(INDEX!$E$13-3))))</f>
        <v>-</v>
      </c>
      <c r="L21" s="5" t="str">
        <f>IF(I21=0,"-",VLOOKUP(K21,ucty_synt!A:B,2,0))</f>
        <v>-</v>
      </c>
      <c r="M21" s="15" t="str">
        <f>IF(S21="-","-",VLOOKUP(K21,ucty_synt!A:S,3,0))</f>
        <v>-</v>
      </c>
      <c r="N21" s="15" t="str">
        <f>IF(I21=0,"-",IF(M21="Rozvaha",VLOOKUP(S21,'radky_R'!A:O,6,0),IF(M21="Výsledovka",VLOOKUP(S21,'radky_V'!A:M,6,0),"-")))</f>
        <v>-</v>
      </c>
      <c r="O21" s="3" t="str">
        <f>IF(I21=0,"-",IF(COUNTIF(ucty_synt!A:A,K21)=0,"účet n/a",IF(VLOOKUP(K21,ucty_synt!A:S,4,0)=RIGHT($P$1,5),"podle AÚ",IF(VLOOKUP(K21,ucty_synt!A:S,4,0)=RIGHT($Q$1,5),"podle SÚ",IF(SUMIF(ucty_synt!A:A,K21,ucty_synt!E:E)&lt;&gt;0,VLOOKUP(K21,ucty_synt!A:T,5,0),"doplnit")))))</f>
        <v>-</v>
      </c>
      <c r="P21" s="3" t="str">
        <f>IF(I21=0,"-",IF(VLOOKUP(K21,ucty_synt!A:S,4,0)=RIGHT($P$1,5),IF(SUMIFS(I:I,C:C,C21,D:D,D21)&gt;=0,VLOOKUP(K21,ucty_synt!A:E,5,0),VLOOKUP(K21,ucty_synt!A:L,12,0)),"-"))</f>
        <v>-</v>
      </c>
      <c r="Q21" s="3" t="str">
        <f>IF(I21=0,"-",IF(VLOOKUP(K21,ucty_synt!A:S,4,0)=RIGHT($Q$1,5),IF(SUMIFS(I:I,C:C,C21,K:K,K21)&gt;=0,VLOOKUP(K21,ucty_synt!A:E,5,0),VLOOKUP(K21,ucty_synt!A:L,12,0)),"-"))</f>
        <v>-</v>
      </c>
      <c r="R21" s="459"/>
      <c r="S21" s="8" t="str">
        <f t="shared" si="7"/>
        <v>-</v>
      </c>
      <c r="T21" s="15" t="str">
        <f>IF(S21="-","-",IF(M21="Rozvaha",VLOOKUP(S21,'radky_R'!A:O,14,0),IF(M21="Výsledovka",VLOOKUP(S21,'radky_V'!A:M,12,0),"-")))</f>
        <v>-</v>
      </c>
      <c r="U21" s="20" t="str">
        <f>IF(I21=0,"-",IF(M21="Rozvaha",VLOOKUP(S21,'radky_R'!A:O,8,0),IF(M21="Výsledovka",VLOOKUP(S21,'radky_V'!A:M,8,0),"-")))</f>
        <v>-</v>
      </c>
      <c r="V21" s="20" t="str">
        <f>IF(I21=0,"-",IF(M21="Rozvaha",VLOOKUP(S21,'radky_R'!A:O,9,0),IF(M21="Výsledovka",VLOOKUP(S21,'radky_V'!A:M,9,0),"-")))</f>
        <v>-</v>
      </c>
      <c r="W21" s="104" t="str">
        <f>IF(I21=0,"-",IF(M21="Rozvaha",VLOOKUP(S21,'radky_R'!A:O,15,0),IF(M21="Výsledovka",VLOOKUP(S21,'radky_V'!A:M,11,0),"-")))</f>
        <v>-</v>
      </c>
      <c r="X21" s="5" t="str">
        <f>IF(I21=0,"-",VLOOKUP(K21,ucty_synt!A:S,19,0))</f>
        <v>-</v>
      </c>
      <c r="Y21" s="6">
        <f t="shared" si="8"/>
        <v>0</v>
      </c>
      <c r="Z21" s="650" t="str">
        <f>IF(data[[#This Row],[uc_synt]]="-","-",VLOOKUP(data[[#This Row],[uc_synt]],ucty_synt!A:T,20,0))</f>
        <v>-</v>
      </c>
      <c r="AA21" s="650" t="str">
        <f>IF(COUNTIF(proc_exc!A:A,data[[#This Row],[ucet]])&gt;1,"chyba v proc_exc!",IF(COUNTIF(proc_exc!A:A,data[[#This Row],[ucet]])=1,VLOOKUP(data[[#This Row],[ucet]],proc_exc!A:E,5,0),data[[#This Row],[proces default]]))</f>
        <v>-</v>
      </c>
    </row>
    <row r="22" spans="2:27" x14ac:dyDescent="0.3">
      <c r="B22" s="36"/>
      <c r="C22" s="32"/>
      <c r="J22" s="15" t="str">
        <f t="shared" si="6"/>
        <v xml:space="preserve"> </v>
      </c>
      <c r="K22" s="3" t="str">
        <f>IF(I22=0,"-",VALUE(LEFT(D22,LEN(D22)-(INDEX!$E$13-3))))</f>
        <v>-</v>
      </c>
      <c r="L22" s="5" t="str">
        <f>IF(I22=0,"-",VLOOKUP(K22,ucty_synt!A:B,2,0))</f>
        <v>-</v>
      </c>
      <c r="M22" s="15" t="str">
        <f>IF(S22="-","-",VLOOKUP(K22,ucty_synt!A:S,3,0))</f>
        <v>-</v>
      </c>
      <c r="N22" s="15" t="str">
        <f>IF(I22=0,"-",IF(M22="Rozvaha",VLOOKUP(S22,'radky_R'!A:O,6,0),IF(M22="Výsledovka",VLOOKUP(S22,'radky_V'!A:M,6,0),"-")))</f>
        <v>-</v>
      </c>
      <c r="O22" s="3" t="str">
        <f>IF(I22=0,"-",IF(COUNTIF(ucty_synt!A:A,K22)=0,"účet n/a",IF(VLOOKUP(K22,ucty_synt!A:S,4,0)=RIGHT($P$1,5),"podle AÚ",IF(VLOOKUP(K22,ucty_synt!A:S,4,0)=RIGHT($Q$1,5),"podle SÚ",IF(SUMIF(ucty_synt!A:A,K22,ucty_synt!E:E)&lt;&gt;0,VLOOKUP(K22,ucty_synt!A:T,5,0),"doplnit")))))</f>
        <v>-</v>
      </c>
      <c r="P22" s="3" t="str">
        <f>IF(I22=0,"-",IF(VLOOKUP(K22,ucty_synt!A:S,4,0)=RIGHT($P$1,5),IF(SUMIFS(I:I,C:C,C22,D:D,D22)&gt;=0,VLOOKUP(K22,ucty_synt!A:E,5,0),VLOOKUP(K22,ucty_synt!A:L,12,0)),"-"))</f>
        <v>-</v>
      </c>
      <c r="Q22" s="3" t="str">
        <f>IF(I22=0,"-",IF(VLOOKUP(K22,ucty_synt!A:S,4,0)=RIGHT($Q$1,5),IF(SUMIFS(I:I,C:C,C22,K:K,K22)&gt;=0,VLOOKUP(K22,ucty_synt!A:E,5,0),VLOOKUP(K22,ucty_synt!A:L,12,0)),"-"))</f>
        <v>-</v>
      </c>
      <c r="R22" s="459"/>
      <c r="S22" s="8" t="str">
        <f t="shared" si="7"/>
        <v>-</v>
      </c>
      <c r="T22" s="15" t="str">
        <f>IF(S22="-","-",IF(M22="Rozvaha",VLOOKUP(S22,'radky_R'!A:O,14,0),IF(M22="Výsledovka",VLOOKUP(S22,'radky_V'!A:M,12,0),"-")))</f>
        <v>-</v>
      </c>
      <c r="U22" s="20" t="str">
        <f>IF(I22=0,"-",IF(M22="Rozvaha",VLOOKUP(S22,'radky_R'!A:O,8,0),IF(M22="Výsledovka",VLOOKUP(S22,'radky_V'!A:M,8,0),"-")))</f>
        <v>-</v>
      </c>
      <c r="V22" s="20" t="str">
        <f>IF(I22=0,"-",IF(M22="Rozvaha",VLOOKUP(S22,'radky_R'!A:O,9,0),IF(M22="Výsledovka",VLOOKUP(S22,'radky_V'!A:M,9,0),"-")))</f>
        <v>-</v>
      </c>
      <c r="W22" s="104" t="str">
        <f>IF(I22=0,"-",IF(M22="Rozvaha",VLOOKUP(S22,'radky_R'!A:O,15,0),IF(M22="Výsledovka",VLOOKUP(S22,'radky_V'!A:M,11,0),"-")))</f>
        <v>-</v>
      </c>
      <c r="X22" s="5" t="str">
        <f>IF(I22=0,"-",VLOOKUP(K22,ucty_synt!A:S,19,0))</f>
        <v>-</v>
      </c>
      <c r="Y22" s="6">
        <f t="shared" si="8"/>
        <v>0</v>
      </c>
      <c r="Z22" s="650" t="str">
        <f>IF(data[[#This Row],[uc_synt]]="-","-",VLOOKUP(data[[#This Row],[uc_synt]],ucty_synt!A:T,20,0))</f>
        <v>-</v>
      </c>
      <c r="AA22" s="650" t="str">
        <f>IF(COUNTIF(proc_exc!A:A,data[[#This Row],[ucet]])&gt;1,"chyba v proc_exc!",IF(COUNTIF(proc_exc!A:A,data[[#This Row],[ucet]])=1,VLOOKUP(data[[#This Row],[ucet]],proc_exc!A:E,5,0),data[[#This Row],[proces default]]))</f>
        <v>-</v>
      </c>
    </row>
    <row r="23" spans="2:27" x14ac:dyDescent="0.3">
      <c r="B23" s="36"/>
      <c r="C23" s="32"/>
      <c r="J23" s="15" t="str">
        <f t="shared" si="6"/>
        <v xml:space="preserve"> </v>
      </c>
      <c r="K23" s="3" t="str">
        <f>IF(I23=0,"-",VALUE(LEFT(D23,LEN(D23)-(INDEX!$E$13-3))))</f>
        <v>-</v>
      </c>
      <c r="L23" s="5" t="str">
        <f>IF(I23=0,"-",VLOOKUP(K23,ucty_synt!A:B,2,0))</f>
        <v>-</v>
      </c>
      <c r="M23" s="15" t="str">
        <f>IF(S23="-","-",VLOOKUP(K23,ucty_synt!A:S,3,0))</f>
        <v>-</v>
      </c>
      <c r="N23" s="15" t="str">
        <f>IF(I23=0,"-",IF(M23="Rozvaha",VLOOKUP(S23,'radky_R'!A:O,6,0),IF(M23="Výsledovka",VLOOKUP(S23,'radky_V'!A:M,6,0),"-")))</f>
        <v>-</v>
      </c>
      <c r="O23" s="3" t="str">
        <f>IF(I23=0,"-",IF(COUNTIF(ucty_synt!A:A,K23)=0,"účet n/a",IF(VLOOKUP(K23,ucty_synt!A:S,4,0)=RIGHT($P$1,5),"podle AÚ",IF(VLOOKUP(K23,ucty_synt!A:S,4,0)=RIGHT($Q$1,5),"podle SÚ",IF(SUMIF(ucty_synt!A:A,K23,ucty_synt!E:E)&lt;&gt;0,VLOOKUP(K23,ucty_synt!A:T,5,0),"doplnit")))))</f>
        <v>-</v>
      </c>
      <c r="P23" s="3" t="str">
        <f>IF(I23=0,"-",IF(VLOOKUP(K23,ucty_synt!A:S,4,0)=RIGHT($P$1,5),IF(SUMIFS(I:I,C:C,C23,D:D,D23)&gt;=0,VLOOKUP(K23,ucty_synt!A:E,5,0),VLOOKUP(K23,ucty_synt!A:L,12,0)),"-"))</f>
        <v>-</v>
      </c>
      <c r="Q23" s="3" t="str">
        <f>IF(I23=0,"-",IF(VLOOKUP(K23,ucty_synt!A:S,4,0)=RIGHT($Q$1,5),IF(SUMIFS(I:I,C:C,C23,K:K,K23)&gt;=0,VLOOKUP(K23,ucty_synt!A:E,5,0),VLOOKUP(K23,ucty_synt!A:L,12,0)),"-"))</f>
        <v>-</v>
      </c>
      <c r="R23" s="459"/>
      <c r="S23" s="8" t="str">
        <f t="shared" si="7"/>
        <v>-</v>
      </c>
      <c r="T23" s="15" t="str">
        <f>IF(S23="-","-",IF(M23="Rozvaha",VLOOKUP(S23,'radky_R'!A:O,14,0),IF(M23="Výsledovka",VLOOKUP(S23,'radky_V'!A:M,12,0),"-")))</f>
        <v>-</v>
      </c>
      <c r="U23" s="20" t="str">
        <f>IF(I23=0,"-",IF(M23="Rozvaha",VLOOKUP(S23,'radky_R'!A:O,8,0),IF(M23="Výsledovka",VLOOKUP(S23,'radky_V'!A:M,8,0),"-")))</f>
        <v>-</v>
      </c>
      <c r="V23" s="20" t="str">
        <f>IF(I23=0,"-",IF(M23="Rozvaha",VLOOKUP(S23,'radky_R'!A:O,9,0),IF(M23="Výsledovka",VLOOKUP(S23,'radky_V'!A:M,9,0),"-")))</f>
        <v>-</v>
      </c>
      <c r="W23" s="104" t="str">
        <f>IF(I23=0,"-",IF(M23="Rozvaha",VLOOKUP(S23,'radky_R'!A:O,15,0),IF(M23="Výsledovka",VLOOKUP(S23,'radky_V'!A:M,11,0),"-")))</f>
        <v>-</v>
      </c>
      <c r="X23" s="5" t="str">
        <f>IF(I23=0,"-",VLOOKUP(K23,ucty_synt!A:S,19,0))</f>
        <v>-</v>
      </c>
      <c r="Y23" s="6">
        <f t="shared" si="8"/>
        <v>0</v>
      </c>
      <c r="Z23" s="650" t="str">
        <f>IF(data[[#This Row],[uc_synt]]="-","-",VLOOKUP(data[[#This Row],[uc_synt]],ucty_synt!A:T,20,0))</f>
        <v>-</v>
      </c>
      <c r="AA23" s="650" t="str">
        <f>IF(COUNTIF(proc_exc!A:A,data[[#This Row],[ucet]])&gt;1,"chyba v proc_exc!",IF(COUNTIF(proc_exc!A:A,data[[#This Row],[ucet]])=1,VLOOKUP(data[[#This Row],[ucet]],proc_exc!A:E,5,0),data[[#This Row],[proces default]]))</f>
        <v>-</v>
      </c>
    </row>
    <row r="24" spans="2:27" x14ac:dyDescent="0.3">
      <c r="B24" s="36"/>
      <c r="C24" s="32"/>
      <c r="J24" s="15" t="str">
        <f t="shared" si="6"/>
        <v xml:space="preserve"> </v>
      </c>
      <c r="K24" s="3" t="str">
        <f>IF(I24=0,"-",VALUE(LEFT(D24,LEN(D24)-(INDEX!$E$13-3))))</f>
        <v>-</v>
      </c>
      <c r="L24" s="5" t="str">
        <f>IF(I24=0,"-",VLOOKUP(K24,ucty_synt!A:B,2,0))</f>
        <v>-</v>
      </c>
      <c r="M24" s="15" t="str">
        <f>IF(S24="-","-",VLOOKUP(K24,ucty_synt!A:S,3,0))</f>
        <v>-</v>
      </c>
      <c r="N24" s="15" t="str">
        <f>IF(I24=0,"-",IF(M24="Rozvaha",VLOOKUP(S24,'radky_R'!A:O,6,0),IF(M24="Výsledovka",VLOOKUP(S24,'radky_V'!A:M,6,0),"-")))</f>
        <v>-</v>
      </c>
      <c r="O24" s="3" t="str">
        <f>IF(I24=0,"-",IF(COUNTIF(ucty_synt!A:A,K24)=0,"účet n/a",IF(VLOOKUP(K24,ucty_synt!A:S,4,0)=RIGHT($P$1,5),"podle AÚ",IF(VLOOKUP(K24,ucty_synt!A:S,4,0)=RIGHT($Q$1,5),"podle SÚ",IF(SUMIF(ucty_synt!A:A,K24,ucty_synt!E:E)&lt;&gt;0,VLOOKUP(K24,ucty_synt!A:T,5,0),"doplnit")))))</f>
        <v>-</v>
      </c>
      <c r="P24" s="3" t="str">
        <f>IF(I24=0,"-",IF(VLOOKUP(K24,ucty_synt!A:S,4,0)=RIGHT($P$1,5),IF(SUMIFS(I:I,C:C,C24,D:D,D24)&gt;=0,VLOOKUP(K24,ucty_synt!A:E,5,0),VLOOKUP(K24,ucty_synt!A:L,12,0)),"-"))</f>
        <v>-</v>
      </c>
      <c r="Q24" s="3" t="str">
        <f>IF(I24=0,"-",IF(VLOOKUP(K24,ucty_synt!A:S,4,0)=RIGHT($Q$1,5),IF(SUMIFS(I:I,C:C,C24,K:K,K24)&gt;=0,VLOOKUP(K24,ucty_synt!A:E,5,0),VLOOKUP(K24,ucty_synt!A:L,12,0)),"-"))</f>
        <v>-</v>
      </c>
      <c r="R24" s="459"/>
      <c r="S24" s="8" t="str">
        <f t="shared" si="7"/>
        <v>-</v>
      </c>
      <c r="T24" s="15" t="str">
        <f>IF(S24="-","-",IF(M24="Rozvaha",VLOOKUP(S24,'radky_R'!A:O,14,0),IF(M24="Výsledovka",VLOOKUP(S24,'radky_V'!A:M,12,0),"-")))</f>
        <v>-</v>
      </c>
      <c r="U24" s="20" t="str">
        <f>IF(I24=0,"-",IF(M24="Rozvaha",VLOOKUP(S24,'radky_R'!A:O,8,0),IF(M24="Výsledovka",VLOOKUP(S24,'radky_V'!A:M,8,0),"-")))</f>
        <v>-</v>
      </c>
      <c r="V24" s="20" t="str">
        <f>IF(I24=0,"-",IF(M24="Rozvaha",VLOOKUP(S24,'radky_R'!A:O,9,0),IF(M24="Výsledovka",VLOOKUP(S24,'radky_V'!A:M,9,0),"-")))</f>
        <v>-</v>
      </c>
      <c r="W24" s="104" t="str">
        <f>IF(I24=0,"-",IF(M24="Rozvaha",VLOOKUP(S24,'radky_R'!A:O,15,0),IF(M24="Výsledovka",VLOOKUP(S24,'radky_V'!A:M,11,0),"-")))</f>
        <v>-</v>
      </c>
      <c r="X24" s="5" t="str">
        <f>IF(I24=0,"-",VLOOKUP(K24,ucty_synt!A:S,19,0))</f>
        <v>-</v>
      </c>
      <c r="Y24" s="6">
        <f t="shared" si="8"/>
        <v>0</v>
      </c>
      <c r="Z24" s="650" t="str">
        <f>IF(data[[#This Row],[uc_synt]]="-","-",VLOOKUP(data[[#This Row],[uc_synt]],ucty_synt!A:T,20,0))</f>
        <v>-</v>
      </c>
      <c r="AA24" s="650" t="str">
        <f>IF(COUNTIF(proc_exc!A:A,data[[#This Row],[ucet]])&gt;1,"chyba v proc_exc!",IF(COUNTIF(proc_exc!A:A,data[[#This Row],[ucet]])=1,VLOOKUP(data[[#This Row],[ucet]],proc_exc!A:E,5,0),data[[#This Row],[proces default]]))</f>
        <v>-</v>
      </c>
    </row>
    <row r="25" spans="2:27" x14ac:dyDescent="0.3">
      <c r="B25" s="36"/>
      <c r="C25" s="32"/>
      <c r="J25" s="15" t="str">
        <f t="shared" si="6"/>
        <v xml:space="preserve"> </v>
      </c>
      <c r="K25" s="3" t="str">
        <f>IF(I25=0,"-",VALUE(LEFT(D25,LEN(D25)-(INDEX!$E$13-3))))</f>
        <v>-</v>
      </c>
      <c r="L25" s="5" t="str">
        <f>IF(I25=0,"-",VLOOKUP(K25,ucty_synt!A:B,2,0))</f>
        <v>-</v>
      </c>
      <c r="M25" s="15" t="str">
        <f>IF(S25="-","-",VLOOKUP(K25,ucty_synt!A:S,3,0))</f>
        <v>-</v>
      </c>
      <c r="N25" s="15" t="str">
        <f>IF(I25=0,"-",IF(M25="Rozvaha",VLOOKUP(S25,'radky_R'!A:O,6,0),IF(M25="Výsledovka",VLOOKUP(S25,'radky_V'!A:M,6,0),"-")))</f>
        <v>-</v>
      </c>
      <c r="O25" s="3" t="str">
        <f>IF(I25=0,"-",IF(COUNTIF(ucty_synt!A:A,K25)=0,"účet n/a",IF(VLOOKUP(K25,ucty_synt!A:S,4,0)=RIGHT($P$1,5),"podle AÚ",IF(VLOOKUP(K25,ucty_synt!A:S,4,0)=RIGHT($Q$1,5),"podle SÚ",IF(SUMIF(ucty_synt!A:A,K25,ucty_synt!E:E)&lt;&gt;0,VLOOKUP(K25,ucty_synt!A:T,5,0),"doplnit")))))</f>
        <v>-</v>
      </c>
      <c r="P25" s="3" t="str">
        <f>IF(I25=0,"-",IF(VLOOKUP(K25,ucty_synt!A:S,4,0)=RIGHT($P$1,5),IF(SUMIFS(I:I,C:C,C25,D:D,D25)&gt;=0,VLOOKUP(K25,ucty_synt!A:E,5,0),VLOOKUP(K25,ucty_synt!A:L,12,0)),"-"))</f>
        <v>-</v>
      </c>
      <c r="Q25" s="3" t="str">
        <f>IF(I25=0,"-",IF(VLOOKUP(K25,ucty_synt!A:S,4,0)=RIGHT($Q$1,5),IF(SUMIFS(I:I,C:C,C25,K:K,K25)&gt;=0,VLOOKUP(K25,ucty_synt!A:E,5,0),VLOOKUP(K25,ucty_synt!A:L,12,0)),"-"))</f>
        <v>-</v>
      </c>
      <c r="R25" s="459"/>
      <c r="S25" s="8" t="str">
        <f t="shared" si="7"/>
        <v>-</v>
      </c>
      <c r="T25" s="15" t="str">
        <f>IF(S25="-","-",IF(M25="Rozvaha",VLOOKUP(S25,'radky_R'!A:O,14,0),IF(M25="Výsledovka",VLOOKUP(S25,'radky_V'!A:M,12,0),"-")))</f>
        <v>-</v>
      </c>
      <c r="U25" s="20" t="str">
        <f>IF(I25=0,"-",IF(M25="Rozvaha",VLOOKUP(S25,'radky_R'!A:O,8,0),IF(M25="Výsledovka",VLOOKUP(S25,'radky_V'!A:M,8,0),"-")))</f>
        <v>-</v>
      </c>
      <c r="V25" s="20" t="str">
        <f>IF(I25=0,"-",IF(M25="Rozvaha",VLOOKUP(S25,'radky_R'!A:O,9,0),IF(M25="Výsledovka",VLOOKUP(S25,'radky_V'!A:M,9,0),"-")))</f>
        <v>-</v>
      </c>
      <c r="W25" s="104" t="str">
        <f>IF(I25=0,"-",IF(M25="Rozvaha",VLOOKUP(S25,'radky_R'!A:O,15,0),IF(M25="Výsledovka",VLOOKUP(S25,'radky_V'!A:M,11,0),"-")))</f>
        <v>-</v>
      </c>
      <c r="X25" s="5" t="str">
        <f>IF(I25=0,"-",VLOOKUP(K25,ucty_synt!A:S,19,0))</f>
        <v>-</v>
      </c>
      <c r="Y25" s="6">
        <f t="shared" si="8"/>
        <v>0</v>
      </c>
      <c r="Z25" s="650" t="str">
        <f>IF(data[[#This Row],[uc_synt]]="-","-",VLOOKUP(data[[#This Row],[uc_synt]],ucty_synt!A:T,20,0))</f>
        <v>-</v>
      </c>
      <c r="AA25" s="650" t="str">
        <f>IF(COUNTIF(proc_exc!A:A,data[[#This Row],[ucet]])&gt;1,"chyba v proc_exc!",IF(COUNTIF(proc_exc!A:A,data[[#This Row],[ucet]])=1,VLOOKUP(data[[#This Row],[ucet]],proc_exc!A:E,5,0),data[[#This Row],[proces default]]))</f>
        <v>-</v>
      </c>
    </row>
    <row r="26" spans="2:27" x14ac:dyDescent="0.3">
      <c r="B26" s="36"/>
      <c r="C26" s="32"/>
      <c r="J26" s="15" t="str">
        <f t="shared" si="6"/>
        <v xml:space="preserve"> </v>
      </c>
      <c r="K26" s="3" t="str">
        <f>IF(I26=0,"-",VALUE(LEFT(D26,LEN(D26)-(INDEX!$E$13-3))))</f>
        <v>-</v>
      </c>
      <c r="L26" s="5" t="str">
        <f>IF(I26=0,"-",VLOOKUP(K26,ucty_synt!A:B,2,0))</f>
        <v>-</v>
      </c>
      <c r="M26" s="15" t="str">
        <f>IF(S26="-","-",VLOOKUP(K26,ucty_synt!A:S,3,0))</f>
        <v>-</v>
      </c>
      <c r="N26" s="15" t="str">
        <f>IF(I26=0,"-",IF(M26="Rozvaha",VLOOKUP(S26,'radky_R'!A:O,6,0),IF(M26="Výsledovka",VLOOKUP(S26,'radky_V'!A:M,6,0),"-")))</f>
        <v>-</v>
      </c>
      <c r="O26" s="3" t="str">
        <f>IF(I26=0,"-",IF(COUNTIF(ucty_synt!A:A,K26)=0,"účet n/a",IF(VLOOKUP(K26,ucty_synt!A:S,4,0)=RIGHT($P$1,5),"podle AÚ",IF(VLOOKUP(K26,ucty_synt!A:S,4,0)=RIGHT($Q$1,5),"podle SÚ",IF(SUMIF(ucty_synt!A:A,K26,ucty_synt!E:E)&lt;&gt;0,VLOOKUP(K26,ucty_synt!A:T,5,0),"doplnit")))))</f>
        <v>-</v>
      </c>
      <c r="P26" s="3" t="str">
        <f>IF(I26=0,"-",IF(VLOOKUP(K26,ucty_synt!A:S,4,0)=RIGHT($P$1,5),IF(SUMIFS(I:I,C:C,C26,D:D,D26)&gt;=0,VLOOKUP(K26,ucty_synt!A:E,5,0),VLOOKUP(K26,ucty_synt!A:L,12,0)),"-"))</f>
        <v>-</v>
      </c>
      <c r="Q26" s="3" t="str">
        <f>IF(I26=0,"-",IF(VLOOKUP(K26,ucty_synt!A:S,4,0)=RIGHT($Q$1,5),IF(SUMIFS(I:I,C:C,C26,K:K,K26)&gt;=0,VLOOKUP(K26,ucty_synt!A:E,5,0),VLOOKUP(K26,ucty_synt!A:L,12,0)),"-"))</f>
        <v>-</v>
      </c>
      <c r="R26" s="459"/>
      <c r="S26" s="8" t="str">
        <f t="shared" si="7"/>
        <v>-</v>
      </c>
      <c r="T26" s="15" t="str">
        <f>IF(S26="-","-",IF(M26="Rozvaha",VLOOKUP(S26,'radky_R'!A:O,14,0),IF(M26="Výsledovka",VLOOKUP(S26,'radky_V'!A:M,12,0),"-")))</f>
        <v>-</v>
      </c>
      <c r="U26" s="20" t="str">
        <f>IF(I26=0,"-",IF(M26="Rozvaha",VLOOKUP(S26,'radky_R'!A:O,8,0),IF(M26="Výsledovka",VLOOKUP(S26,'radky_V'!A:M,8,0),"-")))</f>
        <v>-</v>
      </c>
      <c r="V26" s="20" t="str">
        <f>IF(I26=0,"-",IF(M26="Rozvaha",VLOOKUP(S26,'radky_R'!A:O,9,0),IF(M26="Výsledovka",VLOOKUP(S26,'radky_V'!A:M,9,0),"-")))</f>
        <v>-</v>
      </c>
      <c r="W26" s="104" t="str">
        <f>IF(I26=0,"-",IF(M26="Rozvaha",VLOOKUP(S26,'radky_R'!A:O,15,0),IF(M26="Výsledovka",VLOOKUP(S26,'radky_V'!A:M,11,0),"-")))</f>
        <v>-</v>
      </c>
      <c r="X26" s="5" t="str">
        <f>IF(I26=0,"-",VLOOKUP(K26,ucty_synt!A:S,19,0))</f>
        <v>-</v>
      </c>
      <c r="Y26" s="6">
        <f t="shared" si="8"/>
        <v>0</v>
      </c>
      <c r="Z26" s="650" t="str">
        <f>IF(data[[#This Row],[uc_synt]]="-","-",VLOOKUP(data[[#This Row],[uc_synt]],ucty_synt!A:T,20,0))</f>
        <v>-</v>
      </c>
      <c r="AA26" s="650" t="str">
        <f>IF(COUNTIF(proc_exc!A:A,data[[#This Row],[ucet]])&gt;1,"chyba v proc_exc!",IF(COUNTIF(proc_exc!A:A,data[[#This Row],[ucet]])=1,VLOOKUP(data[[#This Row],[ucet]],proc_exc!A:E,5,0),data[[#This Row],[proces default]]))</f>
        <v>-</v>
      </c>
    </row>
    <row r="27" spans="2:27" x14ac:dyDescent="0.3">
      <c r="B27" s="36"/>
      <c r="C27" s="32"/>
      <c r="J27" s="15" t="str">
        <f t="shared" si="6"/>
        <v xml:space="preserve"> </v>
      </c>
      <c r="K27" s="3" t="str">
        <f>IF(I27=0,"-",VALUE(LEFT(D27,LEN(D27)-(INDEX!$E$13-3))))</f>
        <v>-</v>
      </c>
      <c r="L27" s="5" t="str">
        <f>IF(I27=0,"-",VLOOKUP(K27,ucty_synt!A:B,2,0))</f>
        <v>-</v>
      </c>
      <c r="M27" s="15" t="str">
        <f>IF(S27="-","-",VLOOKUP(K27,ucty_synt!A:S,3,0))</f>
        <v>-</v>
      </c>
      <c r="N27" s="15" t="str">
        <f>IF(I27=0,"-",IF(M27="Rozvaha",VLOOKUP(S27,'radky_R'!A:O,6,0),IF(M27="Výsledovka",VLOOKUP(S27,'radky_V'!A:M,6,0),"-")))</f>
        <v>-</v>
      </c>
      <c r="O27" s="3" t="str">
        <f>IF(I27=0,"-",IF(COUNTIF(ucty_synt!A:A,K27)=0,"účet n/a",IF(VLOOKUP(K27,ucty_synt!A:S,4,0)=RIGHT($P$1,5),"podle AÚ",IF(VLOOKUP(K27,ucty_synt!A:S,4,0)=RIGHT($Q$1,5),"podle SÚ",IF(SUMIF(ucty_synt!A:A,K27,ucty_synt!E:E)&lt;&gt;0,VLOOKUP(K27,ucty_synt!A:T,5,0),"doplnit")))))</f>
        <v>-</v>
      </c>
      <c r="P27" s="3" t="str">
        <f>IF(I27=0,"-",IF(VLOOKUP(K27,ucty_synt!A:S,4,0)=RIGHT($P$1,5),IF(SUMIFS(I:I,C:C,C27,D:D,D27)&gt;=0,VLOOKUP(K27,ucty_synt!A:E,5,0),VLOOKUP(K27,ucty_synt!A:L,12,0)),"-"))</f>
        <v>-</v>
      </c>
      <c r="Q27" s="3" t="str">
        <f>IF(I27=0,"-",IF(VLOOKUP(K27,ucty_synt!A:S,4,0)=RIGHT($Q$1,5),IF(SUMIFS(I:I,C:C,C27,K:K,K27)&gt;=0,VLOOKUP(K27,ucty_synt!A:E,5,0),VLOOKUP(K27,ucty_synt!A:L,12,0)),"-"))</f>
        <v>-</v>
      </c>
      <c r="R27" s="459"/>
      <c r="S27" s="8" t="str">
        <f t="shared" si="7"/>
        <v>-</v>
      </c>
      <c r="T27" s="15" t="str">
        <f>IF(S27="-","-",IF(M27="Rozvaha",VLOOKUP(S27,'radky_R'!A:O,14,0),IF(M27="Výsledovka",VLOOKUP(S27,'radky_V'!A:M,12,0),"-")))</f>
        <v>-</v>
      </c>
      <c r="U27" s="20" t="str">
        <f>IF(I27=0,"-",IF(M27="Rozvaha",VLOOKUP(S27,'radky_R'!A:O,8,0),IF(M27="Výsledovka",VLOOKUP(S27,'radky_V'!A:M,8,0),"-")))</f>
        <v>-</v>
      </c>
      <c r="V27" s="20" t="str">
        <f>IF(I27=0,"-",IF(M27="Rozvaha",VLOOKUP(S27,'radky_R'!A:O,9,0),IF(M27="Výsledovka",VLOOKUP(S27,'radky_V'!A:M,9,0),"-")))</f>
        <v>-</v>
      </c>
      <c r="W27" s="104" t="str">
        <f>IF(I27=0,"-",IF(M27="Rozvaha",VLOOKUP(S27,'radky_R'!A:O,15,0),IF(M27="Výsledovka",VLOOKUP(S27,'radky_V'!A:M,11,0),"-")))</f>
        <v>-</v>
      </c>
      <c r="X27" s="5" t="str">
        <f>IF(I27=0,"-",VLOOKUP(K27,ucty_synt!A:S,19,0))</f>
        <v>-</v>
      </c>
      <c r="Y27" s="6">
        <f t="shared" si="8"/>
        <v>0</v>
      </c>
      <c r="Z27" s="650" t="str">
        <f>IF(data[[#This Row],[uc_synt]]="-","-",VLOOKUP(data[[#This Row],[uc_synt]],ucty_synt!A:T,20,0))</f>
        <v>-</v>
      </c>
      <c r="AA27" s="650" t="str">
        <f>IF(COUNTIF(proc_exc!A:A,data[[#This Row],[ucet]])&gt;1,"chyba v proc_exc!",IF(COUNTIF(proc_exc!A:A,data[[#This Row],[ucet]])=1,VLOOKUP(data[[#This Row],[ucet]],proc_exc!A:E,5,0),data[[#This Row],[proces default]]))</f>
        <v>-</v>
      </c>
    </row>
    <row r="28" spans="2:27" x14ac:dyDescent="0.3">
      <c r="B28" s="36"/>
      <c r="C28" s="32"/>
      <c r="J28" s="15" t="str">
        <f t="shared" si="6"/>
        <v xml:space="preserve"> </v>
      </c>
      <c r="K28" s="3" t="str">
        <f>IF(I28=0,"-",VALUE(LEFT(D28,LEN(D28)-(INDEX!$E$13-3))))</f>
        <v>-</v>
      </c>
      <c r="L28" s="5" t="str">
        <f>IF(I28=0,"-",VLOOKUP(K28,ucty_synt!A:B,2,0))</f>
        <v>-</v>
      </c>
      <c r="M28" s="15" t="str">
        <f>IF(S28="-","-",VLOOKUP(K28,ucty_synt!A:S,3,0))</f>
        <v>-</v>
      </c>
      <c r="N28" s="15" t="str">
        <f>IF(I28=0,"-",IF(M28="Rozvaha",VLOOKUP(S28,'radky_R'!A:O,6,0),IF(M28="Výsledovka",VLOOKUP(S28,'radky_V'!A:M,6,0),"-")))</f>
        <v>-</v>
      </c>
      <c r="O28" s="3" t="str">
        <f>IF(I28=0,"-",IF(COUNTIF(ucty_synt!A:A,K28)=0,"účet n/a",IF(VLOOKUP(K28,ucty_synt!A:S,4,0)=RIGHT($P$1,5),"podle AÚ",IF(VLOOKUP(K28,ucty_synt!A:S,4,0)=RIGHT($Q$1,5),"podle SÚ",IF(SUMIF(ucty_synt!A:A,K28,ucty_synt!E:E)&lt;&gt;0,VLOOKUP(K28,ucty_synt!A:T,5,0),"doplnit")))))</f>
        <v>-</v>
      </c>
      <c r="P28" s="3" t="str">
        <f>IF(I28=0,"-",IF(VLOOKUP(K28,ucty_synt!A:S,4,0)=RIGHT($P$1,5),IF(SUMIFS(I:I,C:C,C28,D:D,D28)&gt;=0,VLOOKUP(K28,ucty_synt!A:E,5,0),VLOOKUP(K28,ucty_synt!A:L,12,0)),"-"))</f>
        <v>-</v>
      </c>
      <c r="Q28" s="3" t="str">
        <f>IF(I28=0,"-",IF(VLOOKUP(K28,ucty_synt!A:S,4,0)=RIGHT($Q$1,5),IF(SUMIFS(I:I,C:C,C28,K:K,K28)&gt;=0,VLOOKUP(K28,ucty_synt!A:E,5,0),VLOOKUP(K28,ucty_synt!A:L,12,0)),"-"))</f>
        <v>-</v>
      </c>
      <c r="R28" s="459"/>
      <c r="S28" s="8" t="str">
        <f t="shared" si="7"/>
        <v>-</v>
      </c>
      <c r="T28" s="15" t="str">
        <f>IF(S28="-","-",IF(M28="Rozvaha",VLOOKUP(S28,'radky_R'!A:O,14,0),IF(M28="Výsledovka",VLOOKUP(S28,'radky_V'!A:M,12,0),"-")))</f>
        <v>-</v>
      </c>
      <c r="U28" s="20" t="str">
        <f>IF(I28=0,"-",IF(M28="Rozvaha",VLOOKUP(S28,'radky_R'!A:O,8,0),IF(M28="Výsledovka",VLOOKUP(S28,'radky_V'!A:M,8,0),"-")))</f>
        <v>-</v>
      </c>
      <c r="V28" s="20" t="str">
        <f>IF(I28=0,"-",IF(M28="Rozvaha",VLOOKUP(S28,'radky_R'!A:O,9,0),IF(M28="Výsledovka",VLOOKUP(S28,'radky_V'!A:M,9,0),"-")))</f>
        <v>-</v>
      </c>
      <c r="W28" s="104" t="str">
        <f>IF(I28=0,"-",IF(M28="Rozvaha",VLOOKUP(S28,'radky_R'!A:O,15,0),IF(M28="Výsledovka",VLOOKUP(S28,'radky_V'!A:M,11,0),"-")))</f>
        <v>-</v>
      </c>
      <c r="X28" s="5" t="str">
        <f>IF(I28=0,"-",VLOOKUP(K28,ucty_synt!A:S,19,0))</f>
        <v>-</v>
      </c>
      <c r="Y28" s="6">
        <f t="shared" si="8"/>
        <v>0</v>
      </c>
      <c r="Z28" s="650" t="str">
        <f>IF(data[[#This Row],[uc_synt]]="-","-",VLOOKUP(data[[#This Row],[uc_synt]],ucty_synt!A:T,20,0))</f>
        <v>-</v>
      </c>
      <c r="AA28" s="650" t="str">
        <f>IF(COUNTIF(proc_exc!A:A,data[[#This Row],[ucet]])&gt;1,"chyba v proc_exc!",IF(COUNTIF(proc_exc!A:A,data[[#This Row],[ucet]])=1,VLOOKUP(data[[#This Row],[ucet]],proc_exc!A:E,5,0),data[[#This Row],[proces default]]))</f>
        <v>-</v>
      </c>
    </row>
    <row r="29" spans="2:27" x14ac:dyDescent="0.3">
      <c r="B29" s="36"/>
      <c r="C29" s="32"/>
      <c r="J29" s="15" t="str">
        <f t="shared" si="6"/>
        <v xml:space="preserve"> </v>
      </c>
      <c r="K29" s="3" t="str">
        <f>IF(I29=0,"-",VALUE(LEFT(D29,LEN(D29)-(INDEX!$E$13-3))))</f>
        <v>-</v>
      </c>
      <c r="L29" s="5" t="str">
        <f>IF(I29=0,"-",VLOOKUP(K29,ucty_synt!A:B,2,0))</f>
        <v>-</v>
      </c>
      <c r="M29" s="15" t="str">
        <f>IF(S29="-","-",VLOOKUP(K29,ucty_synt!A:S,3,0))</f>
        <v>-</v>
      </c>
      <c r="N29" s="15" t="str">
        <f>IF(I29=0,"-",IF(M29="Rozvaha",VLOOKUP(S29,'radky_R'!A:O,6,0),IF(M29="Výsledovka",VLOOKUP(S29,'radky_V'!A:M,6,0),"-")))</f>
        <v>-</v>
      </c>
      <c r="O29" s="3" t="str">
        <f>IF(I29=0,"-",IF(COUNTIF(ucty_synt!A:A,K29)=0,"účet n/a",IF(VLOOKUP(K29,ucty_synt!A:S,4,0)=RIGHT($P$1,5),"podle AÚ",IF(VLOOKUP(K29,ucty_synt!A:S,4,0)=RIGHT($Q$1,5),"podle SÚ",IF(SUMIF(ucty_synt!A:A,K29,ucty_synt!E:E)&lt;&gt;0,VLOOKUP(K29,ucty_synt!A:T,5,0),"doplnit")))))</f>
        <v>-</v>
      </c>
      <c r="P29" s="3" t="str">
        <f>IF(I29=0,"-",IF(VLOOKUP(K29,ucty_synt!A:S,4,0)=RIGHT($P$1,5),IF(SUMIFS(I:I,C:C,C29,D:D,D29)&gt;=0,VLOOKUP(K29,ucty_synt!A:E,5,0),VLOOKUP(K29,ucty_synt!A:L,12,0)),"-"))</f>
        <v>-</v>
      </c>
      <c r="Q29" s="3" t="str">
        <f>IF(I29=0,"-",IF(VLOOKUP(K29,ucty_synt!A:S,4,0)=RIGHT($Q$1,5),IF(SUMIFS(I:I,C:C,C29,K:K,K29)&gt;=0,VLOOKUP(K29,ucty_synt!A:E,5,0),VLOOKUP(K29,ucty_synt!A:L,12,0)),"-"))</f>
        <v>-</v>
      </c>
      <c r="R29" s="459"/>
      <c r="S29" s="8" t="str">
        <f t="shared" si="7"/>
        <v>-</v>
      </c>
      <c r="T29" s="15" t="str">
        <f>IF(S29="-","-",IF(M29="Rozvaha",VLOOKUP(S29,'radky_R'!A:O,14,0),IF(M29="Výsledovka",VLOOKUP(S29,'radky_V'!A:M,12,0),"-")))</f>
        <v>-</v>
      </c>
      <c r="U29" s="20" t="str">
        <f>IF(I29=0,"-",IF(M29="Rozvaha",VLOOKUP(S29,'radky_R'!A:O,8,0),IF(M29="Výsledovka",VLOOKUP(S29,'radky_V'!A:M,8,0),"-")))</f>
        <v>-</v>
      </c>
      <c r="V29" s="20" t="str">
        <f>IF(I29=0,"-",IF(M29="Rozvaha",VLOOKUP(S29,'radky_R'!A:O,9,0),IF(M29="Výsledovka",VLOOKUP(S29,'radky_V'!A:M,9,0),"-")))</f>
        <v>-</v>
      </c>
      <c r="W29" s="104" t="str">
        <f>IF(I29=0,"-",IF(M29="Rozvaha",VLOOKUP(S29,'radky_R'!A:O,15,0),IF(M29="Výsledovka",VLOOKUP(S29,'radky_V'!A:M,11,0),"-")))</f>
        <v>-</v>
      </c>
      <c r="X29" s="5" t="str">
        <f>IF(I29=0,"-",VLOOKUP(K29,ucty_synt!A:S,19,0))</f>
        <v>-</v>
      </c>
      <c r="Y29" s="6">
        <f t="shared" si="8"/>
        <v>0</v>
      </c>
      <c r="Z29" s="650" t="str">
        <f>IF(data[[#This Row],[uc_synt]]="-","-",VLOOKUP(data[[#This Row],[uc_synt]],ucty_synt!A:T,20,0))</f>
        <v>-</v>
      </c>
      <c r="AA29" s="650" t="str">
        <f>IF(COUNTIF(proc_exc!A:A,data[[#This Row],[ucet]])&gt;1,"chyba v proc_exc!",IF(COUNTIF(proc_exc!A:A,data[[#This Row],[ucet]])=1,VLOOKUP(data[[#This Row],[ucet]],proc_exc!A:E,5,0),data[[#This Row],[proces default]]))</f>
        <v>-</v>
      </c>
    </row>
    <row r="30" spans="2:27" x14ac:dyDescent="0.3">
      <c r="B30" s="36"/>
      <c r="C30" s="32"/>
      <c r="J30" s="15" t="str">
        <f t="shared" si="6"/>
        <v xml:space="preserve"> </v>
      </c>
      <c r="K30" s="3" t="str">
        <f>IF(I30=0,"-",VALUE(LEFT(D30,LEN(D30)-(INDEX!$E$13-3))))</f>
        <v>-</v>
      </c>
      <c r="L30" s="5" t="str">
        <f>IF(I30=0,"-",VLOOKUP(K30,ucty_synt!A:B,2,0))</f>
        <v>-</v>
      </c>
      <c r="M30" s="15" t="str">
        <f>IF(S30="-","-",VLOOKUP(K30,ucty_synt!A:S,3,0))</f>
        <v>-</v>
      </c>
      <c r="N30" s="15" t="str">
        <f>IF(I30=0,"-",IF(M30="Rozvaha",VLOOKUP(S30,'radky_R'!A:O,6,0),IF(M30="Výsledovka",VLOOKUP(S30,'radky_V'!A:M,6,0),"-")))</f>
        <v>-</v>
      </c>
      <c r="O30" s="3" t="str">
        <f>IF(I30=0,"-",IF(COUNTIF(ucty_synt!A:A,K30)=0,"účet n/a",IF(VLOOKUP(K30,ucty_synt!A:S,4,0)=RIGHT($P$1,5),"podle AÚ",IF(VLOOKUP(K30,ucty_synt!A:S,4,0)=RIGHT($Q$1,5),"podle SÚ",IF(SUMIF(ucty_synt!A:A,K30,ucty_synt!E:E)&lt;&gt;0,VLOOKUP(K30,ucty_synt!A:T,5,0),"doplnit")))))</f>
        <v>-</v>
      </c>
      <c r="P30" s="3" t="str">
        <f>IF(I30=0,"-",IF(VLOOKUP(K30,ucty_synt!A:S,4,0)=RIGHT($P$1,5),IF(SUMIFS(I:I,C:C,C30,D:D,D30)&gt;=0,VLOOKUP(K30,ucty_synt!A:E,5,0),VLOOKUP(K30,ucty_synt!A:L,12,0)),"-"))</f>
        <v>-</v>
      </c>
      <c r="Q30" s="3" t="str">
        <f>IF(I30=0,"-",IF(VLOOKUP(K30,ucty_synt!A:S,4,0)=RIGHT($Q$1,5),IF(SUMIFS(I:I,C:C,C30,K:K,K30)&gt;=0,VLOOKUP(K30,ucty_synt!A:E,5,0),VLOOKUP(K30,ucty_synt!A:L,12,0)),"-"))</f>
        <v>-</v>
      </c>
      <c r="R30" s="459"/>
      <c r="S30" s="8" t="str">
        <f t="shared" si="7"/>
        <v>-</v>
      </c>
      <c r="T30" s="15" t="str">
        <f>IF(S30="-","-",IF(M30="Rozvaha",VLOOKUP(S30,'radky_R'!A:O,14,0),IF(M30="Výsledovka",VLOOKUP(S30,'radky_V'!A:M,12,0),"-")))</f>
        <v>-</v>
      </c>
      <c r="U30" s="20" t="str">
        <f>IF(I30=0,"-",IF(M30="Rozvaha",VLOOKUP(S30,'radky_R'!A:O,8,0),IF(M30="Výsledovka",VLOOKUP(S30,'radky_V'!A:M,8,0),"-")))</f>
        <v>-</v>
      </c>
      <c r="V30" s="20" t="str">
        <f>IF(I30=0,"-",IF(M30="Rozvaha",VLOOKUP(S30,'radky_R'!A:O,9,0),IF(M30="Výsledovka",VLOOKUP(S30,'radky_V'!A:M,9,0),"-")))</f>
        <v>-</v>
      </c>
      <c r="W30" s="104" t="str">
        <f>IF(I30=0,"-",IF(M30="Rozvaha",VLOOKUP(S30,'radky_R'!A:O,15,0),IF(M30="Výsledovka",VLOOKUP(S30,'radky_V'!A:M,11,0),"-")))</f>
        <v>-</v>
      </c>
      <c r="X30" s="5" t="str">
        <f>IF(I30=0,"-",VLOOKUP(K30,ucty_synt!A:S,19,0))</f>
        <v>-</v>
      </c>
      <c r="Y30" s="6">
        <f t="shared" si="8"/>
        <v>0</v>
      </c>
      <c r="Z30" s="650" t="str">
        <f>IF(data[[#This Row],[uc_synt]]="-","-",VLOOKUP(data[[#This Row],[uc_synt]],ucty_synt!A:T,20,0))</f>
        <v>-</v>
      </c>
      <c r="AA30" s="650" t="str">
        <f>IF(COUNTIF(proc_exc!A:A,data[[#This Row],[ucet]])&gt;1,"chyba v proc_exc!",IF(COUNTIF(proc_exc!A:A,data[[#This Row],[ucet]])=1,VLOOKUP(data[[#This Row],[ucet]],proc_exc!A:E,5,0),data[[#This Row],[proces default]]))</f>
        <v>-</v>
      </c>
    </row>
    <row r="31" spans="2:27" x14ac:dyDescent="0.3">
      <c r="B31" s="36"/>
      <c r="C31" s="32"/>
      <c r="J31" s="15" t="str">
        <f t="shared" si="6"/>
        <v xml:space="preserve"> </v>
      </c>
      <c r="K31" s="3" t="str">
        <f>IF(I31=0,"-",VALUE(LEFT(D31,LEN(D31)-(INDEX!$E$13-3))))</f>
        <v>-</v>
      </c>
      <c r="L31" s="5" t="str">
        <f>IF(I31=0,"-",VLOOKUP(K31,ucty_synt!A:B,2,0))</f>
        <v>-</v>
      </c>
      <c r="M31" s="15" t="str">
        <f>IF(S31="-","-",VLOOKUP(K31,ucty_synt!A:S,3,0))</f>
        <v>-</v>
      </c>
      <c r="N31" s="15" t="str">
        <f>IF(I31=0,"-",IF(M31="Rozvaha",VLOOKUP(S31,'radky_R'!A:O,6,0),IF(M31="Výsledovka",VLOOKUP(S31,'radky_V'!A:M,6,0),"-")))</f>
        <v>-</v>
      </c>
      <c r="O31" s="3" t="str">
        <f>IF(I31=0,"-",IF(COUNTIF(ucty_synt!A:A,K31)=0,"účet n/a",IF(VLOOKUP(K31,ucty_synt!A:S,4,0)=RIGHT($P$1,5),"podle AÚ",IF(VLOOKUP(K31,ucty_synt!A:S,4,0)=RIGHT($Q$1,5),"podle SÚ",IF(SUMIF(ucty_synt!A:A,K31,ucty_synt!E:E)&lt;&gt;0,VLOOKUP(K31,ucty_synt!A:T,5,0),"doplnit")))))</f>
        <v>-</v>
      </c>
      <c r="P31" s="3" t="str">
        <f>IF(I31=0,"-",IF(VLOOKUP(K31,ucty_synt!A:S,4,0)=RIGHT($P$1,5),IF(SUMIFS(I:I,C:C,C31,D:D,D31)&gt;=0,VLOOKUP(K31,ucty_synt!A:E,5,0),VLOOKUP(K31,ucty_synt!A:L,12,0)),"-"))</f>
        <v>-</v>
      </c>
      <c r="Q31" s="3" t="str">
        <f>IF(I31=0,"-",IF(VLOOKUP(K31,ucty_synt!A:S,4,0)=RIGHT($Q$1,5),IF(SUMIFS(I:I,C:C,C31,K:K,K31)&gt;=0,VLOOKUP(K31,ucty_synt!A:E,5,0),VLOOKUP(K31,ucty_synt!A:L,12,0)),"-"))</f>
        <v>-</v>
      </c>
      <c r="R31" s="459"/>
      <c r="S31" s="8" t="str">
        <f t="shared" si="7"/>
        <v>-</v>
      </c>
      <c r="T31" s="15" t="str">
        <f>IF(S31="-","-",IF(M31="Rozvaha",VLOOKUP(S31,'radky_R'!A:O,14,0),IF(M31="Výsledovka",VLOOKUP(S31,'radky_V'!A:M,12,0),"-")))</f>
        <v>-</v>
      </c>
      <c r="U31" s="20" t="str">
        <f>IF(I31=0,"-",IF(M31="Rozvaha",VLOOKUP(S31,'radky_R'!A:O,8,0),IF(M31="Výsledovka",VLOOKUP(S31,'radky_V'!A:M,8,0),"-")))</f>
        <v>-</v>
      </c>
      <c r="V31" s="20" t="str">
        <f>IF(I31=0,"-",IF(M31="Rozvaha",VLOOKUP(S31,'radky_R'!A:O,9,0),IF(M31="Výsledovka",VLOOKUP(S31,'radky_V'!A:M,9,0),"-")))</f>
        <v>-</v>
      </c>
      <c r="W31" s="104" t="str">
        <f>IF(I31=0,"-",IF(M31="Rozvaha",VLOOKUP(S31,'radky_R'!A:O,15,0),IF(M31="Výsledovka",VLOOKUP(S31,'radky_V'!A:M,11,0),"-")))</f>
        <v>-</v>
      </c>
      <c r="X31" s="5" t="str">
        <f>IF(I31=0,"-",VLOOKUP(K31,ucty_synt!A:S,19,0))</f>
        <v>-</v>
      </c>
      <c r="Y31" s="6">
        <f t="shared" si="8"/>
        <v>0</v>
      </c>
      <c r="Z31" s="650" t="str">
        <f>IF(data[[#This Row],[uc_synt]]="-","-",VLOOKUP(data[[#This Row],[uc_synt]],ucty_synt!A:T,20,0))</f>
        <v>-</v>
      </c>
      <c r="AA31" s="650" t="str">
        <f>IF(COUNTIF(proc_exc!A:A,data[[#This Row],[ucet]])&gt;1,"chyba v proc_exc!",IF(COUNTIF(proc_exc!A:A,data[[#This Row],[ucet]])=1,VLOOKUP(data[[#This Row],[ucet]],proc_exc!A:E,5,0),data[[#This Row],[proces default]]))</f>
        <v>-</v>
      </c>
    </row>
    <row r="32" spans="2:27" x14ac:dyDescent="0.3">
      <c r="B32" s="36"/>
      <c r="C32" s="32"/>
      <c r="J32" s="15" t="str">
        <f t="shared" si="6"/>
        <v xml:space="preserve"> </v>
      </c>
      <c r="K32" s="3" t="str">
        <f>IF(I32=0,"-",VALUE(LEFT(D32,LEN(D32)-(INDEX!$E$13-3))))</f>
        <v>-</v>
      </c>
      <c r="L32" s="5" t="str">
        <f>IF(I32=0,"-",VLOOKUP(K32,ucty_synt!A:B,2,0))</f>
        <v>-</v>
      </c>
      <c r="M32" s="15" t="str">
        <f>IF(S32="-","-",VLOOKUP(K32,ucty_synt!A:S,3,0))</f>
        <v>-</v>
      </c>
      <c r="N32" s="15" t="str">
        <f>IF(I32=0,"-",IF(M32="Rozvaha",VLOOKUP(S32,'radky_R'!A:O,6,0),IF(M32="Výsledovka",VLOOKUP(S32,'radky_V'!A:M,6,0),"-")))</f>
        <v>-</v>
      </c>
      <c r="O32" s="3" t="str">
        <f>IF(I32=0,"-",IF(COUNTIF(ucty_synt!A:A,K32)=0,"účet n/a",IF(VLOOKUP(K32,ucty_synt!A:S,4,0)=RIGHT($P$1,5),"podle AÚ",IF(VLOOKUP(K32,ucty_synt!A:S,4,0)=RIGHT($Q$1,5),"podle SÚ",IF(SUMIF(ucty_synt!A:A,K32,ucty_synt!E:E)&lt;&gt;0,VLOOKUP(K32,ucty_synt!A:T,5,0),"doplnit")))))</f>
        <v>-</v>
      </c>
      <c r="P32" s="3" t="str">
        <f>IF(I32=0,"-",IF(VLOOKUP(K32,ucty_synt!A:S,4,0)=RIGHT($P$1,5),IF(SUMIFS(I:I,C:C,C32,D:D,D32)&gt;=0,VLOOKUP(K32,ucty_synt!A:E,5,0),VLOOKUP(K32,ucty_synt!A:L,12,0)),"-"))</f>
        <v>-</v>
      </c>
      <c r="Q32" s="3" t="str">
        <f>IF(I32=0,"-",IF(VLOOKUP(K32,ucty_synt!A:S,4,0)=RIGHT($Q$1,5),IF(SUMIFS(I:I,C:C,C32,K:K,K32)&gt;=0,VLOOKUP(K32,ucty_synt!A:E,5,0),VLOOKUP(K32,ucty_synt!A:L,12,0)),"-"))</f>
        <v>-</v>
      </c>
      <c r="R32" s="459"/>
      <c r="S32" s="8" t="str">
        <f t="shared" si="7"/>
        <v>-</v>
      </c>
      <c r="T32" s="15" t="str">
        <f>IF(S32="-","-",IF(M32="Rozvaha",VLOOKUP(S32,'radky_R'!A:O,14,0),IF(M32="Výsledovka",VLOOKUP(S32,'radky_V'!A:M,12,0),"-")))</f>
        <v>-</v>
      </c>
      <c r="U32" s="20" t="str">
        <f>IF(I32=0,"-",IF(M32="Rozvaha",VLOOKUP(S32,'radky_R'!A:O,8,0),IF(M32="Výsledovka",VLOOKUP(S32,'radky_V'!A:M,8,0),"-")))</f>
        <v>-</v>
      </c>
      <c r="V32" s="20" t="str">
        <f>IF(I32=0,"-",IF(M32="Rozvaha",VLOOKUP(S32,'radky_R'!A:O,9,0),IF(M32="Výsledovka",VLOOKUP(S32,'radky_V'!A:M,9,0),"-")))</f>
        <v>-</v>
      </c>
      <c r="W32" s="104" t="str">
        <f>IF(I32=0,"-",IF(M32="Rozvaha",VLOOKUP(S32,'radky_R'!A:O,15,0),IF(M32="Výsledovka",VLOOKUP(S32,'radky_V'!A:M,11,0),"-")))</f>
        <v>-</v>
      </c>
      <c r="X32" s="5" t="str">
        <f>IF(I32=0,"-",VLOOKUP(K32,ucty_synt!A:S,19,0))</f>
        <v>-</v>
      </c>
      <c r="Y32" s="6">
        <f t="shared" si="8"/>
        <v>0</v>
      </c>
      <c r="Z32" s="650" t="str">
        <f>IF(data[[#This Row],[uc_synt]]="-","-",VLOOKUP(data[[#This Row],[uc_synt]],ucty_synt!A:T,20,0))</f>
        <v>-</v>
      </c>
      <c r="AA32" s="650" t="str">
        <f>IF(COUNTIF(proc_exc!A:A,data[[#This Row],[ucet]])&gt;1,"chyba v proc_exc!",IF(COUNTIF(proc_exc!A:A,data[[#This Row],[ucet]])=1,VLOOKUP(data[[#This Row],[ucet]],proc_exc!A:E,5,0),data[[#This Row],[proces default]]))</f>
        <v>-</v>
      </c>
    </row>
    <row r="33" spans="2:27" x14ac:dyDescent="0.3">
      <c r="B33" s="36"/>
      <c r="C33" s="32"/>
      <c r="J33" s="15" t="str">
        <f t="shared" si="6"/>
        <v xml:space="preserve"> </v>
      </c>
      <c r="K33" s="3" t="str">
        <f>IF(I33=0,"-",VALUE(LEFT(D33,LEN(D33)-(INDEX!$E$13-3))))</f>
        <v>-</v>
      </c>
      <c r="L33" s="5" t="str">
        <f>IF(I33=0,"-",VLOOKUP(K33,ucty_synt!A:B,2,0))</f>
        <v>-</v>
      </c>
      <c r="M33" s="15" t="str">
        <f>IF(S33="-","-",VLOOKUP(K33,ucty_synt!A:S,3,0))</f>
        <v>-</v>
      </c>
      <c r="N33" s="15" t="str">
        <f>IF(I33=0,"-",IF(M33="Rozvaha",VLOOKUP(S33,'radky_R'!A:O,6,0),IF(M33="Výsledovka",VLOOKUP(S33,'radky_V'!A:M,6,0),"-")))</f>
        <v>-</v>
      </c>
      <c r="O33" s="3" t="str">
        <f>IF(I33=0,"-",IF(COUNTIF(ucty_synt!A:A,K33)=0,"účet n/a",IF(VLOOKUP(K33,ucty_synt!A:S,4,0)=RIGHT($P$1,5),"podle AÚ",IF(VLOOKUP(K33,ucty_synt!A:S,4,0)=RIGHT($Q$1,5),"podle SÚ",IF(SUMIF(ucty_synt!A:A,K33,ucty_synt!E:E)&lt;&gt;0,VLOOKUP(K33,ucty_synt!A:T,5,0),"doplnit")))))</f>
        <v>-</v>
      </c>
      <c r="P33" s="3" t="str">
        <f>IF(I33=0,"-",IF(VLOOKUP(K33,ucty_synt!A:S,4,0)=RIGHT($P$1,5),IF(SUMIFS(I:I,C:C,C33,D:D,D33)&gt;=0,VLOOKUP(K33,ucty_synt!A:E,5,0),VLOOKUP(K33,ucty_synt!A:L,12,0)),"-"))</f>
        <v>-</v>
      </c>
      <c r="Q33" s="3" t="str">
        <f>IF(I33=0,"-",IF(VLOOKUP(K33,ucty_synt!A:S,4,0)=RIGHT($Q$1,5),IF(SUMIFS(I:I,C:C,C33,K:K,K33)&gt;=0,VLOOKUP(K33,ucty_synt!A:E,5,0),VLOOKUP(K33,ucty_synt!A:L,12,0)),"-"))</f>
        <v>-</v>
      </c>
      <c r="R33" s="459"/>
      <c r="S33" s="8" t="str">
        <f t="shared" si="7"/>
        <v>-</v>
      </c>
      <c r="T33" s="15" t="str">
        <f>IF(S33="-","-",IF(M33="Rozvaha",VLOOKUP(S33,'radky_R'!A:O,14,0),IF(M33="Výsledovka",VLOOKUP(S33,'radky_V'!A:M,12,0),"-")))</f>
        <v>-</v>
      </c>
      <c r="U33" s="20" t="str">
        <f>IF(I33=0,"-",IF(M33="Rozvaha",VLOOKUP(S33,'radky_R'!A:O,8,0),IF(M33="Výsledovka",VLOOKUP(S33,'radky_V'!A:M,8,0),"-")))</f>
        <v>-</v>
      </c>
      <c r="V33" s="20" t="str">
        <f>IF(I33=0,"-",IF(M33="Rozvaha",VLOOKUP(S33,'radky_R'!A:O,9,0),IF(M33="Výsledovka",VLOOKUP(S33,'radky_V'!A:M,9,0),"-")))</f>
        <v>-</v>
      </c>
      <c r="W33" s="104" t="str">
        <f>IF(I33=0,"-",IF(M33="Rozvaha",VLOOKUP(S33,'radky_R'!A:O,15,0),IF(M33="Výsledovka",VLOOKUP(S33,'radky_V'!A:M,11,0),"-")))</f>
        <v>-</v>
      </c>
      <c r="X33" s="5" t="str">
        <f>IF(I33=0,"-",VLOOKUP(K33,ucty_synt!A:S,19,0))</f>
        <v>-</v>
      </c>
      <c r="Y33" s="6">
        <f t="shared" si="8"/>
        <v>0</v>
      </c>
      <c r="Z33" s="650" t="str">
        <f>IF(data[[#This Row],[uc_synt]]="-","-",VLOOKUP(data[[#This Row],[uc_synt]],ucty_synt!A:T,20,0))</f>
        <v>-</v>
      </c>
      <c r="AA33" s="650" t="str">
        <f>IF(COUNTIF(proc_exc!A:A,data[[#This Row],[ucet]])&gt;1,"chyba v proc_exc!",IF(COUNTIF(proc_exc!A:A,data[[#This Row],[ucet]])=1,VLOOKUP(data[[#This Row],[ucet]],proc_exc!A:E,5,0),data[[#This Row],[proces default]]))</f>
        <v>-</v>
      </c>
    </row>
    <row r="34" spans="2:27" x14ac:dyDescent="0.3">
      <c r="B34" s="36"/>
      <c r="C34" s="32"/>
      <c r="J34" s="15" t="str">
        <f t="shared" si="6"/>
        <v xml:space="preserve"> </v>
      </c>
      <c r="K34" s="3" t="str">
        <f>IF(I34=0,"-",VALUE(LEFT(D34,LEN(D34)-(INDEX!$E$13-3))))</f>
        <v>-</v>
      </c>
      <c r="L34" s="5" t="str">
        <f>IF(I34=0,"-",VLOOKUP(K34,ucty_synt!A:B,2,0))</f>
        <v>-</v>
      </c>
      <c r="M34" s="15" t="str">
        <f>IF(S34="-","-",VLOOKUP(K34,ucty_synt!A:S,3,0))</f>
        <v>-</v>
      </c>
      <c r="N34" s="15" t="str">
        <f>IF(I34=0,"-",IF(M34="Rozvaha",VLOOKUP(S34,'radky_R'!A:O,6,0),IF(M34="Výsledovka",VLOOKUP(S34,'radky_V'!A:M,6,0),"-")))</f>
        <v>-</v>
      </c>
      <c r="O34" s="3" t="str">
        <f>IF(I34=0,"-",IF(COUNTIF(ucty_synt!A:A,K34)=0,"účet n/a",IF(VLOOKUP(K34,ucty_synt!A:S,4,0)=RIGHT($P$1,5),"podle AÚ",IF(VLOOKUP(K34,ucty_synt!A:S,4,0)=RIGHT($Q$1,5),"podle SÚ",IF(SUMIF(ucty_synt!A:A,K34,ucty_synt!E:E)&lt;&gt;0,VLOOKUP(K34,ucty_synt!A:T,5,0),"doplnit")))))</f>
        <v>-</v>
      </c>
      <c r="P34" s="3" t="str">
        <f>IF(I34=0,"-",IF(VLOOKUP(K34,ucty_synt!A:S,4,0)=RIGHT($P$1,5),IF(SUMIFS(I:I,C:C,C34,D:D,D34)&gt;=0,VLOOKUP(K34,ucty_synt!A:E,5,0),VLOOKUP(K34,ucty_synt!A:L,12,0)),"-"))</f>
        <v>-</v>
      </c>
      <c r="Q34" s="3" t="str">
        <f>IF(I34=0,"-",IF(VLOOKUP(K34,ucty_synt!A:S,4,0)=RIGHT($Q$1,5),IF(SUMIFS(I:I,C:C,C34,K:K,K34)&gt;=0,VLOOKUP(K34,ucty_synt!A:E,5,0),VLOOKUP(K34,ucty_synt!A:L,12,0)),"-"))</f>
        <v>-</v>
      </c>
      <c r="R34" s="459"/>
      <c r="S34" s="8" t="str">
        <f t="shared" si="7"/>
        <v>-</v>
      </c>
      <c r="T34" s="15" t="str">
        <f>IF(S34="-","-",IF(M34="Rozvaha",VLOOKUP(S34,'radky_R'!A:O,14,0),IF(M34="Výsledovka",VLOOKUP(S34,'radky_V'!A:M,12,0),"-")))</f>
        <v>-</v>
      </c>
      <c r="U34" s="20" t="str">
        <f>IF(I34=0,"-",IF(M34="Rozvaha",VLOOKUP(S34,'radky_R'!A:O,8,0),IF(M34="Výsledovka",VLOOKUP(S34,'radky_V'!A:M,8,0),"-")))</f>
        <v>-</v>
      </c>
      <c r="V34" s="20" t="str">
        <f>IF(I34=0,"-",IF(M34="Rozvaha",VLOOKUP(S34,'radky_R'!A:O,9,0),IF(M34="Výsledovka",VLOOKUP(S34,'radky_V'!A:M,9,0),"-")))</f>
        <v>-</v>
      </c>
      <c r="W34" s="104" t="str">
        <f>IF(I34=0,"-",IF(M34="Rozvaha",VLOOKUP(S34,'radky_R'!A:O,15,0),IF(M34="Výsledovka",VLOOKUP(S34,'radky_V'!A:M,11,0),"-")))</f>
        <v>-</v>
      </c>
      <c r="X34" s="5" t="str">
        <f>IF(I34=0,"-",VLOOKUP(K34,ucty_synt!A:S,19,0))</f>
        <v>-</v>
      </c>
      <c r="Y34" s="6">
        <f t="shared" si="8"/>
        <v>0</v>
      </c>
      <c r="Z34" s="650" t="str">
        <f>IF(data[[#This Row],[uc_synt]]="-","-",VLOOKUP(data[[#This Row],[uc_synt]],ucty_synt!A:T,20,0))</f>
        <v>-</v>
      </c>
      <c r="AA34" s="650" t="str">
        <f>IF(COUNTIF(proc_exc!A:A,data[[#This Row],[ucet]])&gt;1,"chyba v proc_exc!",IF(COUNTIF(proc_exc!A:A,data[[#This Row],[ucet]])=1,VLOOKUP(data[[#This Row],[ucet]],proc_exc!A:E,5,0),data[[#This Row],[proces default]]))</f>
        <v>-</v>
      </c>
    </row>
    <row r="35" spans="2:27" x14ac:dyDescent="0.3">
      <c r="B35" s="36"/>
      <c r="C35" s="32"/>
      <c r="J35" s="15" t="str">
        <f t="shared" si="6"/>
        <v xml:space="preserve"> </v>
      </c>
      <c r="K35" s="3" t="str">
        <f>IF(I35=0,"-",VALUE(LEFT(D35,LEN(D35)-(INDEX!$E$13-3))))</f>
        <v>-</v>
      </c>
      <c r="L35" s="5" t="str">
        <f>IF(I35=0,"-",VLOOKUP(K35,ucty_synt!A:B,2,0))</f>
        <v>-</v>
      </c>
      <c r="M35" s="15" t="str">
        <f>IF(S35="-","-",VLOOKUP(K35,ucty_synt!A:S,3,0))</f>
        <v>-</v>
      </c>
      <c r="N35" s="15" t="str">
        <f>IF(I35=0,"-",IF(M35="Rozvaha",VLOOKUP(S35,'radky_R'!A:O,6,0),IF(M35="Výsledovka",VLOOKUP(S35,'radky_V'!A:M,6,0),"-")))</f>
        <v>-</v>
      </c>
      <c r="O35" s="3" t="str">
        <f>IF(I35=0,"-",IF(COUNTIF(ucty_synt!A:A,K35)=0,"účet n/a",IF(VLOOKUP(K35,ucty_synt!A:S,4,0)=RIGHT($P$1,5),"podle AÚ",IF(VLOOKUP(K35,ucty_synt!A:S,4,0)=RIGHT($Q$1,5),"podle SÚ",IF(SUMIF(ucty_synt!A:A,K35,ucty_synt!E:E)&lt;&gt;0,VLOOKUP(K35,ucty_synt!A:T,5,0),"doplnit")))))</f>
        <v>-</v>
      </c>
      <c r="P35" s="3" t="str">
        <f>IF(I35=0,"-",IF(VLOOKUP(K35,ucty_synt!A:S,4,0)=RIGHT($P$1,5),IF(SUMIFS(I:I,C:C,C35,D:D,D35)&gt;=0,VLOOKUP(K35,ucty_synt!A:E,5,0),VLOOKUP(K35,ucty_synt!A:L,12,0)),"-"))</f>
        <v>-</v>
      </c>
      <c r="Q35" s="3" t="str">
        <f>IF(I35=0,"-",IF(VLOOKUP(K35,ucty_synt!A:S,4,0)=RIGHT($Q$1,5),IF(SUMIFS(I:I,C:C,C35,K:K,K35)&gt;=0,VLOOKUP(K35,ucty_synt!A:E,5,0),VLOOKUP(K35,ucty_synt!A:L,12,0)),"-"))</f>
        <v>-</v>
      </c>
      <c r="R35" s="459"/>
      <c r="S35" s="8" t="str">
        <f t="shared" si="7"/>
        <v>-</v>
      </c>
      <c r="T35" s="15" t="str">
        <f>IF(S35="-","-",IF(M35="Rozvaha",VLOOKUP(S35,'radky_R'!A:O,14,0),IF(M35="Výsledovka",VLOOKUP(S35,'radky_V'!A:M,12,0),"-")))</f>
        <v>-</v>
      </c>
      <c r="U35" s="20" t="str">
        <f>IF(I35=0,"-",IF(M35="Rozvaha",VLOOKUP(S35,'radky_R'!A:O,8,0),IF(M35="Výsledovka",VLOOKUP(S35,'radky_V'!A:M,8,0),"-")))</f>
        <v>-</v>
      </c>
      <c r="V35" s="20" t="str">
        <f>IF(I35=0,"-",IF(M35="Rozvaha",VLOOKUP(S35,'radky_R'!A:O,9,0),IF(M35="Výsledovka",VLOOKUP(S35,'radky_V'!A:M,9,0),"-")))</f>
        <v>-</v>
      </c>
      <c r="W35" s="104" t="str">
        <f>IF(I35=0,"-",IF(M35="Rozvaha",VLOOKUP(S35,'radky_R'!A:O,15,0),IF(M35="Výsledovka",VLOOKUP(S35,'radky_V'!A:M,11,0),"-")))</f>
        <v>-</v>
      </c>
      <c r="X35" s="5" t="str">
        <f>IF(I35=0,"-",VLOOKUP(K35,ucty_synt!A:S,19,0))</f>
        <v>-</v>
      </c>
      <c r="Y35" s="6">
        <f t="shared" si="8"/>
        <v>0</v>
      </c>
      <c r="Z35" s="650" t="str">
        <f>IF(data[[#This Row],[uc_synt]]="-","-",VLOOKUP(data[[#This Row],[uc_synt]],ucty_synt!A:T,20,0))</f>
        <v>-</v>
      </c>
      <c r="AA35" s="650" t="str">
        <f>IF(COUNTIF(proc_exc!A:A,data[[#This Row],[ucet]])&gt;1,"chyba v proc_exc!",IF(COUNTIF(proc_exc!A:A,data[[#This Row],[ucet]])=1,VLOOKUP(data[[#This Row],[ucet]],proc_exc!A:E,5,0),data[[#This Row],[proces default]]))</f>
        <v>-</v>
      </c>
    </row>
    <row r="36" spans="2:27" x14ac:dyDescent="0.3">
      <c r="B36" s="36"/>
      <c r="C36" s="32"/>
      <c r="J36" s="15" t="str">
        <f t="shared" ref="J36:J67" si="9">CONCATENATE(D36," ",E36)</f>
        <v xml:space="preserve"> </v>
      </c>
      <c r="K36" s="3" t="str">
        <f>IF(I36=0,"-",VALUE(LEFT(D36,LEN(D36)-(INDEX!$E$13-3))))</f>
        <v>-</v>
      </c>
      <c r="L36" s="5" t="str">
        <f>IF(I36=0,"-",VLOOKUP(K36,ucty_synt!A:B,2,0))</f>
        <v>-</v>
      </c>
      <c r="M36" s="15" t="str">
        <f>IF(S36="-","-",VLOOKUP(K36,ucty_synt!A:S,3,0))</f>
        <v>-</v>
      </c>
      <c r="N36" s="15" t="str">
        <f>IF(I36=0,"-",IF(M36="Rozvaha",VLOOKUP(S36,'radky_R'!A:O,6,0),IF(M36="Výsledovka",VLOOKUP(S36,'radky_V'!A:M,6,0),"-")))</f>
        <v>-</v>
      </c>
      <c r="O36" s="3" t="str">
        <f>IF(I36=0,"-",IF(COUNTIF(ucty_synt!A:A,K36)=0,"účet n/a",IF(VLOOKUP(K36,ucty_synt!A:S,4,0)=RIGHT($P$1,5),"podle AÚ",IF(VLOOKUP(K36,ucty_synt!A:S,4,0)=RIGHT($Q$1,5),"podle SÚ",IF(SUMIF(ucty_synt!A:A,K36,ucty_synt!E:E)&lt;&gt;0,VLOOKUP(K36,ucty_synt!A:T,5,0),"doplnit")))))</f>
        <v>-</v>
      </c>
      <c r="P36" s="3" t="str">
        <f>IF(I36=0,"-",IF(VLOOKUP(K36,ucty_synt!A:S,4,0)=RIGHT($P$1,5),IF(SUMIFS(I:I,C:C,C36,D:D,D36)&gt;=0,VLOOKUP(K36,ucty_synt!A:E,5,0),VLOOKUP(K36,ucty_synt!A:L,12,0)),"-"))</f>
        <v>-</v>
      </c>
      <c r="Q36" s="3" t="str">
        <f>IF(I36=0,"-",IF(VLOOKUP(K36,ucty_synt!A:S,4,0)=RIGHT($Q$1,5),IF(SUMIFS(I:I,C:C,C36,K:K,K36)&gt;=0,VLOOKUP(K36,ucty_synt!A:E,5,0),VLOOKUP(K36,ucty_synt!A:L,12,0)),"-"))</f>
        <v>-</v>
      </c>
      <c r="R36" s="459"/>
      <c r="S36" s="8" t="str">
        <f t="shared" ref="S36:S67" si="10">IF(ISNUMBER(R36),R36,IF(ISNUMBER(Q36),Q36,IF(ISNUMBER(P36),P36,IF(ISNUMBER(O36),O36,"-"))))</f>
        <v>-</v>
      </c>
      <c r="T36" s="15" t="str">
        <f>IF(S36="-","-",IF(M36="Rozvaha",VLOOKUP(S36,'radky_R'!A:O,14,0),IF(M36="Výsledovka",VLOOKUP(S36,'radky_V'!A:M,12,0),"-")))</f>
        <v>-</v>
      </c>
      <c r="U36" s="20" t="str">
        <f>IF(I36=0,"-",IF(M36="Rozvaha",VLOOKUP(S36,'radky_R'!A:O,8,0),IF(M36="Výsledovka",VLOOKUP(S36,'radky_V'!A:M,8,0),"-")))</f>
        <v>-</v>
      </c>
      <c r="V36" s="20" t="str">
        <f>IF(I36=0,"-",IF(M36="Rozvaha",VLOOKUP(S36,'radky_R'!A:O,9,0),IF(M36="Výsledovka",VLOOKUP(S36,'radky_V'!A:M,9,0),"-")))</f>
        <v>-</v>
      </c>
      <c r="W36" s="104" t="str">
        <f>IF(I36=0,"-",IF(M36="Rozvaha",VLOOKUP(S36,'radky_R'!A:O,15,0),IF(M36="Výsledovka",VLOOKUP(S36,'radky_V'!A:M,11,0),"-")))</f>
        <v>-</v>
      </c>
      <c r="X36" s="5" t="str">
        <f>IF(I36=0,"-",VLOOKUP(K36,ucty_synt!A:S,19,0))</f>
        <v>-</v>
      </c>
      <c r="Y36" s="6">
        <f t="shared" ref="Y36:Y67" si="11">I36/zaokr</f>
        <v>0</v>
      </c>
      <c r="Z36" s="650" t="str">
        <f>IF(data[[#This Row],[uc_synt]]="-","-",VLOOKUP(data[[#This Row],[uc_synt]],ucty_synt!A:T,20,0))</f>
        <v>-</v>
      </c>
      <c r="AA36" s="650" t="str">
        <f>IF(COUNTIF(proc_exc!A:A,data[[#This Row],[ucet]])&gt;1,"chyba v proc_exc!",IF(COUNTIF(proc_exc!A:A,data[[#This Row],[ucet]])=1,VLOOKUP(data[[#This Row],[ucet]],proc_exc!A:E,5,0),data[[#This Row],[proces default]]))</f>
        <v>-</v>
      </c>
    </row>
    <row r="37" spans="2:27" x14ac:dyDescent="0.3">
      <c r="B37" s="36"/>
      <c r="C37" s="32"/>
      <c r="J37" s="15" t="str">
        <f t="shared" si="9"/>
        <v xml:space="preserve"> </v>
      </c>
      <c r="K37" s="3" t="str">
        <f>IF(I37=0,"-",VALUE(LEFT(D37,LEN(D37)-(INDEX!$E$13-3))))</f>
        <v>-</v>
      </c>
      <c r="L37" s="5" t="str">
        <f>IF(I37=0,"-",VLOOKUP(K37,ucty_synt!A:B,2,0))</f>
        <v>-</v>
      </c>
      <c r="M37" s="15" t="str">
        <f>IF(S37="-","-",VLOOKUP(K37,ucty_synt!A:S,3,0))</f>
        <v>-</v>
      </c>
      <c r="N37" s="15" t="str">
        <f>IF(I37=0,"-",IF(M37="Rozvaha",VLOOKUP(S37,'radky_R'!A:O,6,0),IF(M37="Výsledovka",VLOOKUP(S37,'radky_V'!A:M,6,0),"-")))</f>
        <v>-</v>
      </c>
      <c r="O37" s="3" t="str">
        <f>IF(I37=0,"-",IF(COUNTIF(ucty_synt!A:A,K37)=0,"účet n/a",IF(VLOOKUP(K37,ucty_synt!A:S,4,0)=RIGHT($P$1,5),"podle AÚ",IF(VLOOKUP(K37,ucty_synt!A:S,4,0)=RIGHT($Q$1,5),"podle SÚ",IF(SUMIF(ucty_synt!A:A,K37,ucty_synt!E:E)&lt;&gt;0,VLOOKUP(K37,ucty_synt!A:T,5,0),"doplnit")))))</f>
        <v>-</v>
      </c>
      <c r="P37" s="3" t="str">
        <f>IF(I37=0,"-",IF(VLOOKUP(K37,ucty_synt!A:S,4,0)=RIGHT($P$1,5),IF(SUMIFS(I:I,C:C,C37,D:D,D37)&gt;=0,VLOOKUP(K37,ucty_synt!A:E,5,0),VLOOKUP(K37,ucty_synt!A:L,12,0)),"-"))</f>
        <v>-</v>
      </c>
      <c r="Q37" s="3" t="str">
        <f>IF(I37=0,"-",IF(VLOOKUP(K37,ucty_synt!A:S,4,0)=RIGHT($Q$1,5),IF(SUMIFS(I:I,C:C,C37,K:K,K37)&gt;=0,VLOOKUP(K37,ucty_synt!A:E,5,0),VLOOKUP(K37,ucty_synt!A:L,12,0)),"-"))</f>
        <v>-</v>
      </c>
      <c r="R37" s="459"/>
      <c r="S37" s="8" t="str">
        <f t="shared" si="10"/>
        <v>-</v>
      </c>
      <c r="T37" s="15" t="str">
        <f>IF(S37="-","-",IF(M37="Rozvaha",VLOOKUP(S37,'radky_R'!A:O,14,0),IF(M37="Výsledovka",VLOOKUP(S37,'radky_V'!A:M,12,0),"-")))</f>
        <v>-</v>
      </c>
      <c r="U37" s="20" t="str">
        <f>IF(I37=0,"-",IF(M37="Rozvaha",VLOOKUP(S37,'radky_R'!A:O,8,0),IF(M37="Výsledovka",VLOOKUP(S37,'radky_V'!A:M,8,0),"-")))</f>
        <v>-</v>
      </c>
      <c r="V37" s="20" t="str">
        <f>IF(I37=0,"-",IF(M37="Rozvaha",VLOOKUP(S37,'radky_R'!A:O,9,0),IF(M37="Výsledovka",VLOOKUP(S37,'radky_V'!A:M,9,0),"-")))</f>
        <v>-</v>
      </c>
      <c r="W37" s="104" t="str">
        <f>IF(I37=0,"-",IF(M37="Rozvaha",VLOOKUP(S37,'radky_R'!A:O,15,0),IF(M37="Výsledovka",VLOOKUP(S37,'radky_V'!A:M,11,0),"-")))</f>
        <v>-</v>
      </c>
      <c r="X37" s="5" t="str">
        <f>IF(I37=0,"-",VLOOKUP(K37,ucty_synt!A:S,19,0))</f>
        <v>-</v>
      </c>
      <c r="Y37" s="6">
        <f t="shared" si="11"/>
        <v>0</v>
      </c>
      <c r="Z37" s="650" t="str">
        <f>IF(data[[#This Row],[uc_synt]]="-","-",VLOOKUP(data[[#This Row],[uc_synt]],ucty_synt!A:T,20,0))</f>
        <v>-</v>
      </c>
      <c r="AA37" s="650" t="str">
        <f>IF(COUNTIF(proc_exc!A:A,data[[#This Row],[ucet]])&gt;1,"chyba v proc_exc!",IF(COUNTIF(proc_exc!A:A,data[[#This Row],[ucet]])=1,VLOOKUP(data[[#This Row],[ucet]],proc_exc!A:E,5,0),data[[#This Row],[proces default]]))</f>
        <v>-</v>
      </c>
    </row>
    <row r="38" spans="2:27" x14ac:dyDescent="0.3">
      <c r="B38" s="36"/>
      <c r="C38" s="32"/>
      <c r="J38" s="15" t="str">
        <f t="shared" si="9"/>
        <v xml:space="preserve"> </v>
      </c>
      <c r="K38" s="3" t="str">
        <f>IF(I38=0,"-",VALUE(LEFT(D38,LEN(D38)-(INDEX!$E$13-3))))</f>
        <v>-</v>
      </c>
      <c r="L38" s="5" t="str">
        <f>IF(I38=0,"-",VLOOKUP(K38,ucty_synt!A:B,2,0))</f>
        <v>-</v>
      </c>
      <c r="M38" s="15" t="str">
        <f>IF(S38="-","-",VLOOKUP(K38,ucty_synt!A:S,3,0))</f>
        <v>-</v>
      </c>
      <c r="N38" s="15" t="str">
        <f>IF(I38=0,"-",IF(M38="Rozvaha",VLOOKUP(S38,'radky_R'!A:O,6,0),IF(M38="Výsledovka",VLOOKUP(S38,'radky_V'!A:M,6,0),"-")))</f>
        <v>-</v>
      </c>
      <c r="O38" s="3" t="str">
        <f>IF(I38=0,"-",IF(COUNTIF(ucty_synt!A:A,K38)=0,"účet n/a",IF(VLOOKUP(K38,ucty_synt!A:S,4,0)=RIGHT($P$1,5),"podle AÚ",IF(VLOOKUP(K38,ucty_synt!A:S,4,0)=RIGHT($Q$1,5),"podle SÚ",IF(SUMIF(ucty_synt!A:A,K38,ucty_synt!E:E)&lt;&gt;0,VLOOKUP(K38,ucty_synt!A:T,5,0),"doplnit")))))</f>
        <v>-</v>
      </c>
      <c r="P38" s="3" t="str">
        <f>IF(I38=0,"-",IF(VLOOKUP(K38,ucty_synt!A:S,4,0)=RIGHT($P$1,5),IF(SUMIFS(I:I,C:C,C38,D:D,D38)&gt;=0,VLOOKUP(K38,ucty_synt!A:E,5,0),VLOOKUP(K38,ucty_synt!A:L,12,0)),"-"))</f>
        <v>-</v>
      </c>
      <c r="Q38" s="3" t="str">
        <f>IF(I38=0,"-",IF(VLOOKUP(K38,ucty_synt!A:S,4,0)=RIGHT($Q$1,5),IF(SUMIFS(I:I,C:C,C38,K:K,K38)&gt;=0,VLOOKUP(K38,ucty_synt!A:E,5,0),VLOOKUP(K38,ucty_synt!A:L,12,0)),"-"))</f>
        <v>-</v>
      </c>
      <c r="R38" s="459"/>
      <c r="S38" s="8" t="str">
        <f t="shared" si="10"/>
        <v>-</v>
      </c>
      <c r="T38" s="15" t="str">
        <f>IF(S38="-","-",IF(M38="Rozvaha",VLOOKUP(S38,'radky_R'!A:O,14,0),IF(M38="Výsledovka",VLOOKUP(S38,'radky_V'!A:M,12,0),"-")))</f>
        <v>-</v>
      </c>
      <c r="U38" s="20" t="str">
        <f>IF(I38=0,"-",IF(M38="Rozvaha",VLOOKUP(S38,'radky_R'!A:O,8,0),IF(M38="Výsledovka",VLOOKUP(S38,'radky_V'!A:M,8,0),"-")))</f>
        <v>-</v>
      </c>
      <c r="V38" s="20" t="str">
        <f>IF(I38=0,"-",IF(M38="Rozvaha",VLOOKUP(S38,'radky_R'!A:O,9,0),IF(M38="Výsledovka",VLOOKUP(S38,'radky_V'!A:M,9,0),"-")))</f>
        <v>-</v>
      </c>
      <c r="W38" s="104" t="str">
        <f>IF(I38=0,"-",IF(M38="Rozvaha",VLOOKUP(S38,'radky_R'!A:O,15,0),IF(M38="Výsledovka",VLOOKUP(S38,'radky_V'!A:M,11,0),"-")))</f>
        <v>-</v>
      </c>
      <c r="X38" s="5" t="str">
        <f>IF(I38=0,"-",VLOOKUP(K38,ucty_synt!A:S,19,0))</f>
        <v>-</v>
      </c>
      <c r="Y38" s="6">
        <f t="shared" si="11"/>
        <v>0</v>
      </c>
      <c r="Z38" s="650" t="str">
        <f>IF(data[[#This Row],[uc_synt]]="-","-",VLOOKUP(data[[#This Row],[uc_synt]],ucty_synt!A:T,20,0))</f>
        <v>-</v>
      </c>
      <c r="AA38" s="650" t="str">
        <f>IF(COUNTIF(proc_exc!A:A,data[[#This Row],[ucet]])&gt;1,"chyba v proc_exc!",IF(COUNTIF(proc_exc!A:A,data[[#This Row],[ucet]])=1,VLOOKUP(data[[#This Row],[ucet]],proc_exc!A:E,5,0),data[[#This Row],[proces default]]))</f>
        <v>-</v>
      </c>
    </row>
    <row r="39" spans="2:27" x14ac:dyDescent="0.3">
      <c r="B39" s="36"/>
      <c r="C39" s="32"/>
      <c r="J39" s="15" t="str">
        <f t="shared" si="9"/>
        <v xml:space="preserve"> </v>
      </c>
      <c r="K39" s="3" t="str">
        <f>IF(I39=0,"-",VALUE(LEFT(D39,LEN(D39)-(INDEX!$E$13-3))))</f>
        <v>-</v>
      </c>
      <c r="L39" s="5" t="str">
        <f>IF(I39=0,"-",VLOOKUP(K39,ucty_synt!A:B,2,0))</f>
        <v>-</v>
      </c>
      <c r="M39" s="15" t="str">
        <f>IF(S39="-","-",VLOOKUP(K39,ucty_synt!A:S,3,0))</f>
        <v>-</v>
      </c>
      <c r="N39" s="15" t="str">
        <f>IF(I39=0,"-",IF(M39="Rozvaha",VLOOKUP(S39,'radky_R'!A:O,6,0),IF(M39="Výsledovka",VLOOKUP(S39,'radky_V'!A:M,6,0),"-")))</f>
        <v>-</v>
      </c>
      <c r="O39" s="3" t="str">
        <f>IF(I39=0,"-",IF(COUNTIF(ucty_synt!A:A,K39)=0,"účet n/a",IF(VLOOKUP(K39,ucty_synt!A:S,4,0)=RIGHT($P$1,5),"podle AÚ",IF(VLOOKUP(K39,ucty_synt!A:S,4,0)=RIGHT($Q$1,5),"podle SÚ",IF(SUMIF(ucty_synt!A:A,K39,ucty_synt!E:E)&lt;&gt;0,VLOOKUP(K39,ucty_synt!A:T,5,0),"doplnit")))))</f>
        <v>-</v>
      </c>
      <c r="P39" s="3" t="str">
        <f>IF(I39=0,"-",IF(VLOOKUP(K39,ucty_synt!A:S,4,0)=RIGHT($P$1,5),IF(SUMIFS(I:I,C:C,C39,D:D,D39)&gt;=0,VLOOKUP(K39,ucty_synt!A:E,5,0),VLOOKUP(K39,ucty_synt!A:L,12,0)),"-"))</f>
        <v>-</v>
      </c>
      <c r="Q39" s="3" t="str">
        <f>IF(I39=0,"-",IF(VLOOKUP(K39,ucty_synt!A:S,4,0)=RIGHT($Q$1,5),IF(SUMIFS(I:I,C:C,C39,K:K,K39)&gt;=0,VLOOKUP(K39,ucty_synt!A:E,5,0),VLOOKUP(K39,ucty_synt!A:L,12,0)),"-"))</f>
        <v>-</v>
      </c>
      <c r="R39" s="459"/>
      <c r="S39" s="8" t="str">
        <f t="shared" si="10"/>
        <v>-</v>
      </c>
      <c r="T39" s="15" t="str">
        <f>IF(S39="-","-",IF(M39="Rozvaha",VLOOKUP(S39,'radky_R'!A:O,14,0),IF(M39="Výsledovka",VLOOKUP(S39,'radky_V'!A:M,12,0),"-")))</f>
        <v>-</v>
      </c>
      <c r="U39" s="20" t="str">
        <f>IF(I39=0,"-",IF(M39="Rozvaha",VLOOKUP(S39,'radky_R'!A:O,8,0),IF(M39="Výsledovka",VLOOKUP(S39,'radky_V'!A:M,8,0),"-")))</f>
        <v>-</v>
      </c>
      <c r="V39" s="20" t="str">
        <f>IF(I39=0,"-",IF(M39="Rozvaha",VLOOKUP(S39,'radky_R'!A:O,9,0),IF(M39="Výsledovka",VLOOKUP(S39,'radky_V'!A:M,9,0),"-")))</f>
        <v>-</v>
      </c>
      <c r="W39" s="104" t="str">
        <f>IF(I39=0,"-",IF(M39="Rozvaha",VLOOKUP(S39,'radky_R'!A:O,15,0),IF(M39="Výsledovka",VLOOKUP(S39,'radky_V'!A:M,11,0),"-")))</f>
        <v>-</v>
      </c>
      <c r="X39" s="5" t="str">
        <f>IF(I39=0,"-",VLOOKUP(K39,ucty_synt!A:S,19,0))</f>
        <v>-</v>
      </c>
      <c r="Y39" s="6">
        <f t="shared" si="11"/>
        <v>0</v>
      </c>
      <c r="Z39" s="650" t="str">
        <f>IF(data[[#This Row],[uc_synt]]="-","-",VLOOKUP(data[[#This Row],[uc_synt]],ucty_synt!A:T,20,0))</f>
        <v>-</v>
      </c>
      <c r="AA39" s="650" t="str">
        <f>IF(COUNTIF(proc_exc!A:A,data[[#This Row],[ucet]])&gt;1,"chyba v proc_exc!",IF(COUNTIF(proc_exc!A:A,data[[#This Row],[ucet]])=1,VLOOKUP(data[[#This Row],[ucet]],proc_exc!A:E,5,0),data[[#This Row],[proces default]]))</f>
        <v>-</v>
      </c>
    </row>
    <row r="40" spans="2:27" x14ac:dyDescent="0.3">
      <c r="B40" s="36"/>
      <c r="C40" s="32"/>
      <c r="J40" s="15" t="str">
        <f t="shared" si="9"/>
        <v xml:space="preserve"> </v>
      </c>
      <c r="K40" s="3" t="str">
        <f>IF(I40=0,"-",VALUE(LEFT(D40,LEN(D40)-(INDEX!$E$13-3))))</f>
        <v>-</v>
      </c>
      <c r="L40" s="5" t="str">
        <f>IF(I40=0,"-",VLOOKUP(K40,ucty_synt!A:B,2,0))</f>
        <v>-</v>
      </c>
      <c r="M40" s="15" t="str">
        <f>IF(S40="-","-",VLOOKUP(K40,ucty_synt!A:S,3,0))</f>
        <v>-</v>
      </c>
      <c r="N40" s="15" t="str">
        <f>IF(I40=0,"-",IF(M40="Rozvaha",VLOOKUP(S40,'radky_R'!A:O,6,0),IF(M40="Výsledovka",VLOOKUP(S40,'radky_V'!A:M,6,0),"-")))</f>
        <v>-</v>
      </c>
      <c r="O40" s="3" t="str">
        <f>IF(I40=0,"-",IF(COUNTIF(ucty_synt!A:A,K40)=0,"účet n/a",IF(VLOOKUP(K40,ucty_synt!A:S,4,0)=RIGHT($P$1,5),"podle AÚ",IF(VLOOKUP(K40,ucty_synt!A:S,4,0)=RIGHT($Q$1,5),"podle SÚ",IF(SUMIF(ucty_synt!A:A,K40,ucty_synt!E:E)&lt;&gt;0,VLOOKUP(K40,ucty_synt!A:T,5,0),"doplnit")))))</f>
        <v>-</v>
      </c>
      <c r="P40" s="3" t="str">
        <f>IF(I40=0,"-",IF(VLOOKUP(K40,ucty_synt!A:S,4,0)=RIGHT($P$1,5),IF(SUMIFS(I:I,C:C,C40,D:D,D40)&gt;=0,VLOOKUP(K40,ucty_synt!A:E,5,0),VLOOKUP(K40,ucty_synt!A:L,12,0)),"-"))</f>
        <v>-</v>
      </c>
      <c r="Q40" s="3" t="str">
        <f>IF(I40=0,"-",IF(VLOOKUP(K40,ucty_synt!A:S,4,0)=RIGHT($Q$1,5),IF(SUMIFS(I:I,C:C,C40,K:K,K40)&gt;=0,VLOOKUP(K40,ucty_synt!A:E,5,0),VLOOKUP(K40,ucty_synt!A:L,12,0)),"-"))</f>
        <v>-</v>
      </c>
      <c r="R40" s="459"/>
      <c r="S40" s="8" t="str">
        <f t="shared" si="10"/>
        <v>-</v>
      </c>
      <c r="T40" s="15" t="str">
        <f>IF(S40="-","-",IF(M40="Rozvaha",VLOOKUP(S40,'radky_R'!A:O,14,0),IF(M40="Výsledovka",VLOOKUP(S40,'radky_V'!A:M,12,0),"-")))</f>
        <v>-</v>
      </c>
      <c r="U40" s="20" t="str">
        <f>IF(I40=0,"-",IF(M40="Rozvaha",VLOOKUP(S40,'radky_R'!A:O,8,0),IF(M40="Výsledovka",VLOOKUP(S40,'radky_V'!A:M,8,0),"-")))</f>
        <v>-</v>
      </c>
      <c r="V40" s="20" t="str">
        <f>IF(I40=0,"-",IF(M40="Rozvaha",VLOOKUP(S40,'radky_R'!A:O,9,0),IF(M40="Výsledovka",VLOOKUP(S40,'radky_V'!A:M,9,0),"-")))</f>
        <v>-</v>
      </c>
      <c r="W40" s="104" t="str">
        <f>IF(I40=0,"-",IF(M40="Rozvaha",VLOOKUP(S40,'radky_R'!A:O,15,0),IF(M40="Výsledovka",VLOOKUP(S40,'radky_V'!A:M,11,0),"-")))</f>
        <v>-</v>
      </c>
      <c r="X40" s="5" t="str">
        <f>IF(I40=0,"-",VLOOKUP(K40,ucty_synt!A:S,19,0))</f>
        <v>-</v>
      </c>
      <c r="Y40" s="6">
        <f t="shared" si="11"/>
        <v>0</v>
      </c>
      <c r="Z40" s="650" t="str">
        <f>IF(data[[#This Row],[uc_synt]]="-","-",VLOOKUP(data[[#This Row],[uc_synt]],ucty_synt!A:T,20,0))</f>
        <v>-</v>
      </c>
      <c r="AA40" s="650" t="str">
        <f>IF(COUNTIF(proc_exc!A:A,data[[#This Row],[ucet]])&gt;1,"chyba v proc_exc!",IF(COUNTIF(proc_exc!A:A,data[[#This Row],[ucet]])=1,VLOOKUP(data[[#This Row],[ucet]],proc_exc!A:E,5,0),data[[#This Row],[proces default]]))</f>
        <v>-</v>
      </c>
    </row>
    <row r="41" spans="2:27" x14ac:dyDescent="0.3">
      <c r="B41" s="36"/>
      <c r="C41" s="32"/>
      <c r="J41" s="15" t="str">
        <f t="shared" si="9"/>
        <v xml:space="preserve"> </v>
      </c>
      <c r="K41" s="3" t="str">
        <f>IF(I41=0,"-",VALUE(LEFT(D41,LEN(D41)-(INDEX!$E$13-3))))</f>
        <v>-</v>
      </c>
      <c r="L41" s="5" t="str">
        <f>IF(I41=0,"-",VLOOKUP(K41,ucty_synt!A:B,2,0))</f>
        <v>-</v>
      </c>
      <c r="M41" s="15" t="str">
        <f>IF(S41="-","-",VLOOKUP(K41,ucty_synt!A:S,3,0))</f>
        <v>-</v>
      </c>
      <c r="N41" s="15" t="str">
        <f>IF(I41=0,"-",IF(M41="Rozvaha",VLOOKUP(S41,'radky_R'!A:O,6,0),IF(M41="Výsledovka",VLOOKUP(S41,'radky_V'!A:M,6,0),"-")))</f>
        <v>-</v>
      </c>
      <c r="O41" s="3" t="str">
        <f>IF(I41=0,"-",IF(COUNTIF(ucty_synt!A:A,K41)=0,"účet n/a",IF(VLOOKUP(K41,ucty_synt!A:S,4,0)=RIGHT($P$1,5),"podle AÚ",IF(VLOOKUP(K41,ucty_synt!A:S,4,0)=RIGHT($Q$1,5),"podle SÚ",IF(SUMIF(ucty_synt!A:A,K41,ucty_synt!E:E)&lt;&gt;0,VLOOKUP(K41,ucty_synt!A:T,5,0),"doplnit")))))</f>
        <v>-</v>
      </c>
      <c r="P41" s="3" t="str">
        <f>IF(I41=0,"-",IF(VLOOKUP(K41,ucty_synt!A:S,4,0)=RIGHT($P$1,5),IF(SUMIFS(I:I,C:C,C41,D:D,D41)&gt;=0,VLOOKUP(K41,ucty_synt!A:E,5,0),VLOOKUP(K41,ucty_synt!A:L,12,0)),"-"))</f>
        <v>-</v>
      </c>
      <c r="Q41" s="3" t="str">
        <f>IF(I41=0,"-",IF(VLOOKUP(K41,ucty_synt!A:S,4,0)=RIGHT($Q$1,5),IF(SUMIFS(I:I,C:C,C41,K:K,K41)&gt;=0,VLOOKUP(K41,ucty_synt!A:E,5,0),VLOOKUP(K41,ucty_synt!A:L,12,0)),"-"))</f>
        <v>-</v>
      </c>
      <c r="R41" s="459"/>
      <c r="S41" s="8" t="str">
        <f t="shared" si="10"/>
        <v>-</v>
      </c>
      <c r="T41" s="15" t="str">
        <f>IF(S41="-","-",IF(M41="Rozvaha",VLOOKUP(S41,'radky_R'!A:O,14,0),IF(M41="Výsledovka",VLOOKUP(S41,'radky_V'!A:M,12,0),"-")))</f>
        <v>-</v>
      </c>
      <c r="U41" s="20" t="str">
        <f>IF(I41=0,"-",IF(M41="Rozvaha",VLOOKUP(S41,'radky_R'!A:O,8,0),IF(M41="Výsledovka",VLOOKUP(S41,'radky_V'!A:M,8,0),"-")))</f>
        <v>-</v>
      </c>
      <c r="V41" s="20" t="str">
        <f>IF(I41=0,"-",IF(M41="Rozvaha",VLOOKUP(S41,'radky_R'!A:O,9,0),IF(M41="Výsledovka",VLOOKUP(S41,'radky_V'!A:M,9,0),"-")))</f>
        <v>-</v>
      </c>
      <c r="W41" s="104" t="str">
        <f>IF(I41=0,"-",IF(M41="Rozvaha",VLOOKUP(S41,'radky_R'!A:O,15,0),IF(M41="Výsledovka",VLOOKUP(S41,'radky_V'!A:M,11,0),"-")))</f>
        <v>-</v>
      </c>
      <c r="X41" s="5" t="str">
        <f>IF(I41=0,"-",VLOOKUP(K41,ucty_synt!A:S,19,0))</f>
        <v>-</v>
      </c>
      <c r="Y41" s="6">
        <f t="shared" si="11"/>
        <v>0</v>
      </c>
      <c r="Z41" s="650" t="str">
        <f>IF(data[[#This Row],[uc_synt]]="-","-",VLOOKUP(data[[#This Row],[uc_synt]],ucty_synt!A:T,20,0))</f>
        <v>-</v>
      </c>
      <c r="AA41" s="650" t="str">
        <f>IF(COUNTIF(proc_exc!A:A,data[[#This Row],[ucet]])&gt;1,"chyba v proc_exc!",IF(COUNTIF(proc_exc!A:A,data[[#This Row],[ucet]])=1,VLOOKUP(data[[#This Row],[ucet]],proc_exc!A:E,5,0),data[[#This Row],[proces default]]))</f>
        <v>-</v>
      </c>
    </row>
    <row r="42" spans="2:27" x14ac:dyDescent="0.3">
      <c r="B42" s="36"/>
      <c r="C42" s="32"/>
      <c r="J42" s="15" t="str">
        <f t="shared" si="9"/>
        <v xml:space="preserve"> </v>
      </c>
      <c r="K42" s="3" t="str">
        <f>IF(I42=0,"-",VALUE(LEFT(D42,LEN(D42)-(INDEX!$E$13-3))))</f>
        <v>-</v>
      </c>
      <c r="L42" s="5" t="str">
        <f>IF(I42=0,"-",VLOOKUP(K42,ucty_synt!A:B,2,0))</f>
        <v>-</v>
      </c>
      <c r="M42" s="15" t="str">
        <f>IF(S42="-","-",VLOOKUP(K42,ucty_synt!A:S,3,0))</f>
        <v>-</v>
      </c>
      <c r="N42" s="15" t="str">
        <f>IF(I42=0,"-",IF(M42="Rozvaha",VLOOKUP(S42,'radky_R'!A:O,6,0),IF(M42="Výsledovka",VLOOKUP(S42,'radky_V'!A:M,6,0),"-")))</f>
        <v>-</v>
      </c>
      <c r="O42" s="3" t="str">
        <f>IF(I42=0,"-",IF(COUNTIF(ucty_synt!A:A,K42)=0,"účet n/a",IF(VLOOKUP(K42,ucty_synt!A:S,4,0)=RIGHT($P$1,5),"podle AÚ",IF(VLOOKUP(K42,ucty_synt!A:S,4,0)=RIGHT($Q$1,5),"podle SÚ",IF(SUMIF(ucty_synt!A:A,K42,ucty_synt!E:E)&lt;&gt;0,VLOOKUP(K42,ucty_synt!A:T,5,0),"doplnit")))))</f>
        <v>-</v>
      </c>
      <c r="P42" s="3" t="str">
        <f>IF(I42=0,"-",IF(VLOOKUP(K42,ucty_synt!A:S,4,0)=RIGHT($P$1,5),IF(SUMIFS(I:I,C:C,C42,D:D,D42)&gt;=0,VLOOKUP(K42,ucty_synt!A:E,5,0),VLOOKUP(K42,ucty_synt!A:L,12,0)),"-"))</f>
        <v>-</v>
      </c>
      <c r="Q42" s="3" t="str">
        <f>IF(I42=0,"-",IF(VLOOKUP(K42,ucty_synt!A:S,4,0)=RIGHT($Q$1,5),IF(SUMIFS(I:I,C:C,C42,K:K,K42)&gt;=0,VLOOKUP(K42,ucty_synt!A:E,5,0),VLOOKUP(K42,ucty_synt!A:L,12,0)),"-"))</f>
        <v>-</v>
      </c>
      <c r="R42" s="459"/>
      <c r="S42" s="8" t="str">
        <f t="shared" si="10"/>
        <v>-</v>
      </c>
      <c r="T42" s="15" t="str">
        <f>IF(S42="-","-",IF(M42="Rozvaha",VLOOKUP(S42,'radky_R'!A:O,14,0),IF(M42="Výsledovka",VLOOKUP(S42,'radky_V'!A:M,12,0),"-")))</f>
        <v>-</v>
      </c>
      <c r="U42" s="20" t="str">
        <f>IF(I42=0,"-",IF(M42="Rozvaha",VLOOKUP(S42,'radky_R'!A:O,8,0),IF(M42="Výsledovka",VLOOKUP(S42,'radky_V'!A:M,8,0),"-")))</f>
        <v>-</v>
      </c>
      <c r="V42" s="20" t="str">
        <f>IF(I42=0,"-",IF(M42="Rozvaha",VLOOKUP(S42,'radky_R'!A:O,9,0),IF(M42="Výsledovka",VLOOKUP(S42,'radky_V'!A:M,9,0),"-")))</f>
        <v>-</v>
      </c>
      <c r="W42" s="104" t="str">
        <f>IF(I42=0,"-",IF(M42="Rozvaha",VLOOKUP(S42,'radky_R'!A:O,15,0),IF(M42="Výsledovka",VLOOKUP(S42,'radky_V'!A:M,11,0),"-")))</f>
        <v>-</v>
      </c>
      <c r="X42" s="5" t="str">
        <f>IF(I42=0,"-",VLOOKUP(K42,ucty_synt!A:S,19,0))</f>
        <v>-</v>
      </c>
      <c r="Y42" s="6">
        <f t="shared" si="11"/>
        <v>0</v>
      </c>
      <c r="Z42" s="650" t="str">
        <f>IF(data[[#This Row],[uc_synt]]="-","-",VLOOKUP(data[[#This Row],[uc_synt]],ucty_synt!A:T,20,0))</f>
        <v>-</v>
      </c>
      <c r="AA42" s="650" t="str">
        <f>IF(COUNTIF(proc_exc!A:A,data[[#This Row],[ucet]])&gt;1,"chyba v proc_exc!",IF(COUNTIF(proc_exc!A:A,data[[#This Row],[ucet]])=1,VLOOKUP(data[[#This Row],[ucet]],proc_exc!A:E,5,0),data[[#This Row],[proces default]]))</f>
        <v>-</v>
      </c>
    </row>
    <row r="43" spans="2:27" x14ac:dyDescent="0.3">
      <c r="B43" s="36"/>
      <c r="C43" s="32"/>
      <c r="J43" s="15" t="str">
        <f t="shared" si="9"/>
        <v xml:space="preserve"> </v>
      </c>
      <c r="K43" s="3" t="str">
        <f>IF(I43=0,"-",VALUE(LEFT(D43,LEN(D43)-(INDEX!$E$13-3))))</f>
        <v>-</v>
      </c>
      <c r="L43" s="5" t="str">
        <f>IF(I43=0,"-",VLOOKUP(K43,ucty_synt!A:B,2,0))</f>
        <v>-</v>
      </c>
      <c r="M43" s="15" t="str">
        <f>IF(S43="-","-",VLOOKUP(K43,ucty_synt!A:S,3,0))</f>
        <v>-</v>
      </c>
      <c r="N43" s="15" t="str">
        <f>IF(I43=0,"-",IF(M43="Rozvaha",VLOOKUP(S43,'radky_R'!A:O,6,0),IF(M43="Výsledovka",VLOOKUP(S43,'radky_V'!A:M,6,0),"-")))</f>
        <v>-</v>
      </c>
      <c r="O43" s="3" t="str">
        <f>IF(I43=0,"-",IF(COUNTIF(ucty_synt!A:A,K43)=0,"účet n/a",IF(VLOOKUP(K43,ucty_synt!A:S,4,0)=RIGHT($P$1,5),"podle AÚ",IF(VLOOKUP(K43,ucty_synt!A:S,4,0)=RIGHT($Q$1,5),"podle SÚ",IF(SUMIF(ucty_synt!A:A,K43,ucty_synt!E:E)&lt;&gt;0,VLOOKUP(K43,ucty_synt!A:T,5,0),"doplnit")))))</f>
        <v>-</v>
      </c>
      <c r="P43" s="3" t="str">
        <f>IF(I43=0,"-",IF(VLOOKUP(K43,ucty_synt!A:S,4,0)=RIGHT($P$1,5),IF(SUMIFS(I:I,C:C,C43,D:D,D43)&gt;=0,VLOOKUP(K43,ucty_synt!A:E,5,0),VLOOKUP(K43,ucty_synt!A:L,12,0)),"-"))</f>
        <v>-</v>
      </c>
      <c r="Q43" s="3" t="str">
        <f>IF(I43=0,"-",IF(VLOOKUP(K43,ucty_synt!A:S,4,0)=RIGHT($Q$1,5),IF(SUMIFS(I:I,C:C,C43,K:K,K43)&gt;=0,VLOOKUP(K43,ucty_synt!A:E,5,0),VLOOKUP(K43,ucty_synt!A:L,12,0)),"-"))</f>
        <v>-</v>
      </c>
      <c r="R43" s="459"/>
      <c r="S43" s="8" t="str">
        <f t="shared" si="10"/>
        <v>-</v>
      </c>
      <c r="T43" s="15" t="str">
        <f>IF(S43="-","-",IF(M43="Rozvaha",VLOOKUP(S43,'radky_R'!A:O,14,0),IF(M43="Výsledovka",VLOOKUP(S43,'radky_V'!A:M,12,0),"-")))</f>
        <v>-</v>
      </c>
      <c r="U43" s="20" t="str">
        <f>IF(I43=0,"-",IF(M43="Rozvaha",VLOOKUP(S43,'radky_R'!A:O,8,0),IF(M43="Výsledovka",VLOOKUP(S43,'radky_V'!A:M,8,0),"-")))</f>
        <v>-</v>
      </c>
      <c r="V43" s="20" t="str">
        <f>IF(I43=0,"-",IF(M43="Rozvaha",VLOOKUP(S43,'radky_R'!A:O,9,0),IF(M43="Výsledovka",VLOOKUP(S43,'radky_V'!A:M,9,0),"-")))</f>
        <v>-</v>
      </c>
      <c r="W43" s="104" t="str">
        <f>IF(I43=0,"-",IF(M43="Rozvaha",VLOOKUP(S43,'radky_R'!A:O,15,0),IF(M43="Výsledovka",VLOOKUP(S43,'radky_V'!A:M,11,0),"-")))</f>
        <v>-</v>
      </c>
      <c r="X43" s="5" t="str">
        <f>IF(I43=0,"-",VLOOKUP(K43,ucty_synt!A:S,19,0))</f>
        <v>-</v>
      </c>
      <c r="Y43" s="6">
        <f t="shared" si="11"/>
        <v>0</v>
      </c>
      <c r="Z43" s="650" t="str">
        <f>IF(data[[#This Row],[uc_synt]]="-","-",VLOOKUP(data[[#This Row],[uc_synt]],ucty_synt!A:T,20,0))</f>
        <v>-</v>
      </c>
      <c r="AA43" s="650" t="str">
        <f>IF(COUNTIF(proc_exc!A:A,data[[#This Row],[ucet]])&gt;1,"chyba v proc_exc!",IF(COUNTIF(proc_exc!A:A,data[[#This Row],[ucet]])=1,VLOOKUP(data[[#This Row],[ucet]],proc_exc!A:E,5,0),data[[#This Row],[proces default]]))</f>
        <v>-</v>
      </c>
    </row>
    <row r="44" spans="2:27" x14ac:dyDescent="0.3">
      <c r="B44" s="36"/>
      <c r="C44" s="32"/>
      <c r="J44" s="15" t="str">
        <f t="shared" si="9"/>
        <v xml:space="preserve"> </v>
      </c>
      <c r="K44" s="3" t="str">
        <f>IF(I44=0,"-",VALUE(LEFT(D44,LEN(D44)-(INDEX!$E$13-3))))</f>
        <v>-</v>
      </c>
      <c r="L44" s="5" t="str">
        <f>IF(I44=0,"-",VLOOKUP(K44,ucty_synt!A:B,2,0))</f>
        <v>-</v>
      </c>
      <c r="M44" s="15" t="str">
        <f>IF(S44="-","-",VLOOKUP(K44,ucty_synt!A:S,3,0))</f>
        <v>-</v>
      </c>
      <c r="N44" s="15" t="str">
        <f>IF(I44=0,"-",IF(M44="Rozvaha",VLOOKUP(S44,'radky_R'!A:O,6,0),IF(M44="Výsledovka",VLOOKUP(S44,'radky_V'!A:M,6,0),"-")))</f>
        <v>-</v>
      </c>
      <c r="O44" s="3" t="str">
        <f>IF(I44=0,"-",IF(COUNTIF(ucty_synt!A:A,K44)=0,"účet n/a",IF(VLOOKUP(K44,ucty_synt!A:S,4,0)=RIGHT($P$1,5),"podle AÚ",IF(VLOOKUP(K44,ucty_synt!A:S,4,0)=RIGHT($Q$1,5),"podle SÚ",IF(SUMIF(ucty_synt!A:A,K44,ucty_synt!E:E)&lt;&gt;0,VLOOKUP(K44,ucty_synt!A:T,5,0),"doplnit")))))</f>
        <v>-</v>
      </c>
      <c r="P44" s="3" t="str">
        <f>IF(I44=0,"-",IF(VLOOKUP(K44,ucty_synt!A:S,4,0)=RIGHT($P$1,5),IF(SUMIFS(I:I,C:C,C44,D:D,D44)&gt;=0,VLOOKUP(K44,ucty_synt!A:E,5,0),VLOOKUP(K44,ucty_synt!A:L,12,0)),"-"))</f>
        <v>-</v>
      </c>
      <c r="Q44" s="3" t="str">
        <f>IF(I44=0,"-",IF(VLOOKUP(K44,ucty_synt!A:S,4,0)=RIGHT($Q$1,5),IF(SUMIFS(I:I,C:C,C44,K:K,K44)&gt;=0,VLOOKUP(K44,ucty_synt!A:E,5,0),VLOOKUP(K44,ucty_synt!A:L,12,0)),"-"))</f>
        <v>-</v>
      </c>
      <c r="R44" s="459"/>
      <c r="S44" s="8" t="str">
        <f t="shared" si="10"/>
        <v>-</v>
      </c>
      <c r="T44" s="15" t="str">
        <f>IF(S44="-","-",IF(M44="Rozvaha",VLOOKUP(S44,'radky_R'!A:O,14,0),IF(M44="Výsledovka",VLOOKUP(S44,'radky_V'!A:M,12,0),"-")))</f>
        <v>-</v>
      </c>
      <c r="U44" s="20" t="str">
        <f>IF(I44=0,"-",IF(M44="Rozvaha",VLOOKUP(S44,'radky_R'!A:O,8,0),IF(M44="Výsledovka",VLOOKUP(S44,'radky_V'!A:M,8,0),"-")))</f>
        <v>-</v>
      </c>
      <c r="V44" s="20" t="str">
        <f>IF(I44=0,"-",IF(M44="Rozvaha",VLOOKUP(S44,'radky_R'!A:O,9,0),IF(M44="Výsledovka",VLOOKUP(S44,'radky_V'!A:M,9,0),"-")))</f>
        <v>-</v>
      </c>
      <c r="W44" s="104" t="str">
        <f>IF(I44=0,"-",IF(M44="Rozvaha",VLOOKUP(S44,'radky_R'!A:O,15,0),IF(M44="Výsledovka",VLOOKUP(S44,'radky_V'!A:M,11,0),"-")))</f>
        <v>-</v>
      </c>
      <c r="X44" s="5" t="str">
        <f>IF(I44=0,"-",VLOOKUP(K44,ucty_synt!A:S,19,0))</f>
        <v>-</v>
      </c>
      <c r="Y44" s="6">
        <f t="shared" si="11"/>
        <v>0</v>
      </c>
      <c r="Z44" s="650" t="str">
        <f>IF(data[[#This Row],[uc_synt]]="-","-",VLOOKUP(data[[#This Row],[uc_synt]],ucty_synt!A:T,20,0))</f>
        <v>-</v>
      </c>
      <c r="AA44" s="650" t="str">
        <f>IF(COUNTIF(proc_exc!A:A,data[[#This Row],[ucet]])&gt;1,"chyba v proc_exc!",IF(COUNTIF(proc_exc!A:A,data[[#This Row],[ucet]])=1,VLOOKUP(data[[#This Row],[ucet]],proc_exc!A:E,5,0),data[[#This Row],[proces default]]))</f>
        <v>-</v>
      </c>
    </row>
    <row r="45" spans="2:27" x14ac:dyDescent="0.3">
      <c r="B45" s="36"/>
      <c r="C45" s="32"/>
      <c r="J45" s="15" t="str">
        <f t="shared" si="9"/>
        <v xml:space="preserve"> </v>
      </c>
      <c r="K45" s="3" t="str">
        <f>IF(I45=0,"-",VALUE(LEFT(D45,LEN(D45)-(INDEX!$E$13-3))))</f>
        <v>-</v>
      </c>
      <c r="L45" s="5" t="str">
        <f>IF(I45=0,"-",VLOOKUP(K45,ucty_synt!A:B,2,0))</f>
        <v>-</v>
      </c>
      <c r="M45" s="15" t="str">
        <f>IF(S45="-","-",VLOOKUP(K45,ucty_synt!A:S,3,0))</f>
        <v>-</v>
      </c>
      <c r="N45" s="15" t="str">
        <f>IF(I45=0,"-",IF(M45="Rozvaha",VLOOKUP(S45,'radky_R'!A:O,6,0),IF(M45="Výsledovka",VLOOKUP(S45,'radky_V'!A:M,6,0),"-")))</f>
        <v>-</v>
      </c>
      <c r="O45" s="3" t="str">
        <f>IF(I45=0,"-",IF(COUNTIF(ucty_synt!A:A,K45)=0,"účet n/a",IF(VLOOKUP(K45,ucty_synt!A:S,4,0)=RIGHT($P$1,5),"podle AÚ",IF(VLOOKUP(K45,ucty_synt!A:S,4,0)=RIGHT($Q$1,5),"podle SÚ",IF(SUMIF(ucty_synt!A:A,K45,ucty_synt!E:E)&lt;&gt;0,VLOOKUP(K45,ucty_synt!A:T,5,0),"doplnit")))))</f>
        <v>-</v>
      </c>
      <c r="P45" s="3" t="str">
        <f>IF(I45=0,"-",IF(VLOOKUP(K45,ucty_synt!A:S,4,0)=RIGHT($P$1,5),IF(SUMIFS(I:I,C:C,C45,D:D,D45)&gt;=0,VLOOKUP(K45,ucty_synt!A:E,5,0),VLOOKUP(K45,ucty_synt!A:L,12,0)),"-"))</f>
        <v>-</v>
      </c>
      <c r="Q45" s="3" t="str">
        <f>IF(I45=0,"-",IF(VLOOKUP(K45,ucty_synt!A:S,4,0)=RIGHT($Q$1,5),IF(SUMIFS(I:I,C:C,C45,K:K,K45)&gt;=0,VLOOKUP(K45,ucty_synt!A:E,5,0),VLOOKUP(K45,ucty_synt!A:L,12,0)),"-"))</f>
        <v>-</v>
      </c>
      <c r="R45" s="459"/>
      <c r="S45" s="8" t="str">
        <f t="shared" si="10"/>
        <v>-</v>
      </c>
      <c r="T45" s="15" t="str">
        <f>IF(S45="-","-",IF(M45="Rozvaha",VLOOKUP(S45,'radky_R'!A:O,14,0),IF(M45="Výsledovka",VLOOKUP(S45,'radky_V'!A:M,12,0),"-")))</f>
        <v>-</v>
      </c>
      <c r="U45" s="20" t="str">
        <f>IF(I45=0,"-",IF(M45="Rozvaha",VLOOKUP(S45,'radky_R'!A:O,8,0),IF(M45="Výsledovka",VLOOKUP(S45,'radky_V'!A:M,8,0),"-")))</f>
        <v>-</v>
      </c>
      <c r="V45" s="20" t="str">
        <f>IF(I45=0,"-",IF(M45="Rozvaha",VLOOKUP(S45,'radky_R'!A:O,9,0),IF(M45="Výsledovka",VLOOKUP(S45,'radky_V'!A:M,9,0),"-")))</f>
        <v>-</v>
      </c>
      <c r="W45" s="104" t="str">
        <f>IF(I45=0,"-",IF(M45="Rozvaha",VLOOKUP(S45,'radky_R'!A:O,15,0),IF(M45="Výsledovka",VLOOKUP(S45,'radky_V'!A:M,11,0),"-")))</f>
        <v>-</v>
      </c>
      <c r="X45" s="5" t="str">
        <f>IF(I45=0,"-",VLOOKUP(K45,ucty_synt!A:S,19,0))</f>
        <v>-</v>
      </c>
      <c r="Y45" s="6">
        <f t="shared" si="11"/>
        <v>0</v>
      </c>
      <c r="Z45" s="650" t="str">
        <f>IF(data[[#This Row],[uc_synt]]="-","-",VLOOKUP(data[[#This Row],[uc_synt]],ucty_synt!A:T,20,0))</f>
        <v>-</v>
      </c>
      <c r="AA45" s="650" t="str">
        <f>IF(COUNTIF(proc_exc!A:A,data[[#This Row],[ucet]])&gt;1,"chyba v proc_exc!",IF(COUNTIF(proc_exc!A:A,data[[#This Row],[ucet]])=1,VLOOKUP(data[[#This Row],[ucet]],proc_exc!A:E,5,0),data[[#This Row],[proces default]]))</f>
        <v>-</v>
      </c>
    </row>
    <row r="46" spans="2:27" x14ac:dyDescent="0.3">
      <c r="B46" s="36"/>
      <c r="C46" s="32"/>
      <c r="J46" s="15" t="str">
        <f t="shared" si="9"/>
        <v xml:space="preserve"> </v>
      </c>
      <c r="K46" s="3" t="str">
        <f>IF(I46=0,"-",VALUE(LEFT(D46,LEN(D46)-(INDEX!$E$13-3))))</f>
        <v>-</v>
      </c>
      <c r="L46" s="5" t="str">
        <f>IF(I46=0,"-",VLOOKUP(K46,ucty_synt!A:B,2,0))</f>
        <v>-</v>
      </c>
      <c r="M46" s="15" t="str">
        <f>IF(S46="-","-",VLOOKUP(K46,ucty_synt!A:S,3,0))</f>
        <v>-</v>
      </c>
      <c r="N46" s="15" t="str">
        <f>IF(I46=0,"-",IF(M46="Rozvaha",VLOOKUP(S46,'radky_R'!A:O,6,0),IF(M46="Výsledovka",VLOOKUP(S46,'radky_V'!A:M,6,0),"-")))</f>
        <v>-</v>
      </c>
      <c r="O46" s="3" t="str">
        <f>IF(I46=0,"-",IF(COUNTIF(ucty_synt!A:A,K46)=0,"účet n/a",IF(VLOOKUP(K46,ucty_synt!A:S,4,0)=RIGHT($P$1,5),"podle AÚ",IF(VLOOKUP(K46,ucty_synt!A:S,4,0)=RIGHT($Q$1,5),"podle SÚ",IF(SUMIF(ucty_synt!A:A,K46,ucty_synt!E:E)&lt;&gt;0,VLOOKUP(K46,ucty_synt!A:T,5,0),"doplnit")))))</f>
        <v>-</v>
      </c>
      <c r="P46" s="3" t="str">
        <f>IF(I46=0,"-",IF(VLOOKUP(K46,ucty_synt!A:S,4,0)=RIGHT($P$1,5),IF(SUMIFS(I:I,C:C,C46,D:D,D46)&gt;=0,VLOOKUP(K46,ucty_synt!A:E,5,0),VLOOKUP(K46,ucty_synt!A:L,12,0)),"-"))</f>
        <v>-</v>
      </c>
      <c r="Q46" s="3" t="str">
        <f>IF(I46=0,"-",IF(VLOOKUP(K46,ucty_synt!A:S,4,0)=RIGHT($Q$1,5),IF(SUMIFS(I:I,C:C,C46,K:K,K46)&gt;=0,VLOOKUP(K46,ucty_synt!A:E,5,0),VLOOKUP(K46,ucty_synt!A:L,12,0)),"-"))</f>
        <v>-</v>
      </c>
      <c r="R46" s="459"/>
      <c r="S46" s="8" t="str">
        <f t="shared" si="10"/>
        <v>-</v>
      </c>
      <c r="T46" s="15" t="str">
        <f>IF(S46="-","-",IF(M46="Rozvaha",VLOOKUP(S46,'radky_R'!A:O,14,0),IF(M46="Výsledovka",VLOOKUP(S46,'radky_V'!A:M,12,0),"-")))</f>
        <v>-</v>
      </c>
      <c r="U46" s="20" t="str">
        <f>IF(I46=0,"-",IF(M46="Rozvaha",VLOOKUP(S46,'radky_R'!A:O,8,0),IF(M46="Výsledovka",VLOOKUP(S46,'radky_V'!A:M,8,0),"-")))</f>
        <v>-</v>
      </c>
      <c r="V46" s="20" t="str">
        <f>IF(I46=0,"-",IF(M46="Rozvaha",VLOOKUP(S46,'radky_R'!A:O,9,0),IF(M46="Výsledovka",VLOOKUP(S46,'radky_V'!A:M,9,0),"-")))</f>
        <v>-</v>
      </c>
      <c r="W46" s="104" t="str">
        <f>IF(I46=0,"-",IF(M46="Rozvaha",VLOOKUP(S46,'radky_R'!A:O,15,0),IF(M46="Výsledovka",VLOOKUP(S46,'radky_V'!A:M,11,0),"-")))</f>
        <v>-</v>
      </c>
      <c r="X46" s="5" t="str">
        <f>IF(I46=0,"-",VLOOKUP(K46,ucty_synt!A:S,19,0))</f>
        <v>-</v>
      </c>
      <c r="Y46" s="6">
        <f t="shared" si="11"/>
        <v>0</v>
      </c>
      <c r="Z46" s="650" t="str">
        <f>IF(data[[#This Row],[uc_synt]]="-","-",VLOOKUP(data[[#This Row],[uc_synt]],ucty_synt!A:T,20,0))</f>
        <v>-</v>
      </c>
      <c r="AA46" s="650" t="str">
        <f>IF(COUNTIF(proc_exc!A:A,data[[#This Row],[ucet]])&gt;1,"chyba v proc_exc!",IF(COUNTIF(proc_exc!A:A,data[[#This Row],[ucet]])=1,VLOOKUP(data[[#This Row],[ucet]],proc_exc!A:E,5,0),data[[#This Row],[proces default]]))</f>
        <v>-</v>
      </c>
    </row>
    <row r="47" spans="2:27" x14ac:dyDescent="0.3">
      <c r="B47" s="36"/>
      <c r="C47" s="32"/>
      <c r="J47" s="15" t="str">
        <f t="shared" si="9"/>
        <v xml:space="preserve"> </v>
      </c>
      <c r="K47" s="3" t="str">
        <f>IF(I47=0,"-",VALUE(LEFT(D47,LEN(D47)-(INDEX!$E$13-3))))</f>
        <v>-</v>
      </c>
      <c r="L47" s="5" t="str">
        <f>IF(I47=0,"-",VLOOKUP(K47,ucty_synt!A:B,2,0))</f>
        <v>-</v>
      </c>
      <c r="M47" s="15" t="str">
        <f>IF(S47="-","-",VLOOKUP(K47,ucty_synt!A:S,3,0))</f>
        <v>-</v>
      </c>
      <c r="N47" s="15" t="str">
        <f>IF(I47=0,"-",IF(M47="Rozvaha",VLOOKUP(S47,'radky_R'!A:O,6,0),IF(M47="Výsledovka",VLOOKUP(S47,'radky_V'!A:M,6,0),"-")))</f>
        <v>-</v>
      </c>
      <c r="O47" s="3" t="str">
        <f>IF(I47=0,"-",IF(COUNTIF(ucty_synt!A:A,K47)=0,"účet n/a",IF(VLOOKUP(K47,ucty_synt!A:S,4,0)=RIGHT($P$1,5),"podle AÚ",IF(VLOOKUP(K47,ucty_synt!A:S,4,0)=RIGHT($Q$1,5),"podle SÚ",IF(SUMIF(ucty_synt!A:A,K47,ucty_synt!E:E)&lt;&gt;0,VLOOKUP(K47,ucty_synt!A:T,5,0),"doplnit")))))</f>
        <v>-</v>
      </c>
      <c r="P47" s="3" t="str">
        <f>IF(I47=0,"-",IF(VLOOKUP(K47,ucty_synt!A:S,4,0)=RIGHT($P$1,5),IF(SUMIFS(I:I,C:C,C47,D:D,D47)&gt;=0,VLOOKUP(K47,ucty_synt!A:E,5,0),VLOOKUP(K47,ucty_synt!A:L,12,0)),"-"))</f>
        <v>-</v>
      </c>
      <c r="Q47" s="3" t="str">
        <f>IF(I47=0,"-",IF(VLOOKUP(K47,ucty_synt!A:S,4,0)=RIGHT($Q$1,5),IF(SUMIFS(I:I,C:C,C47,K:K,K47)&gt;=0,VLOOKUP(K47,ucty_synt!A:E,5,0),VLOOKUP(K47,ucty_synt!A:L,12,0)),"-"))</f>
        <v>-</v>
      </c>
      <c r="R47" s="459"/>
      <c r="S47" s="8" t="str">
        <f t="shared" si="10"/>
        <v>-</v>
      </c>
      <c r="T47" s="15" t="str">
        <f>IF(S47="-","-",IF(M47="Rozvaha",VLOOKUP(S47,'radky_R'!A:O,14,0),IF(M47="Výsledovka",VLOOKUP(S47,'radky_V'!A:M,12,0),"-")))</f>
        <v>-</v>
      </c>
      <c r="U47" s="20" t="str">
        <f>IF(I47=0,"-",IF(M47="Rozvaha",VLOOKUP(S47,'radky_R'!A:O,8,0),IF(M47="Výsledovka",VLOOKUP(S47,'radky_V'!A:M,8,0),"-")))</f>
        <v>-</v>
      </c>
      <c r="V47" s="20" t="str">
        <f>IF(I47=0,"-",IF(M47="Rozvaha",VLOOKUP(S47,'radky_R'!A:O,9,0),IF(M47="Výsledovka",VLOOKUP(S47,'radky_V'!A:M,9,0),"-")))</f>
        <v>-</v>
      </c>
      <c r="W47" s="104" t="str">
        <f>IF(I47=0,"-",IF(M47="Rozvaha",VLOOKUP(S47,'radky_R'!A:O,15,0),IF(M47="Výsledovka",VLOOKUP(S47,'radky_V'!A:M,11,0),"-")))</f>
        <v>-</v>
      </c>
      <c r="X47" s="5" t="str">
        <f>IF(I47=0,"-",VLOOKUP(K47,ucty_synt!A:S,19,0))</f>
        <v>-</v>
      </c>
      <c r="Y47" s="6">
        <f t="shared" si="11"/>
        <v>0</v>
      </c>
      <c r="Z47" s="650" t="str">
        <f>IF(data[[#This Row],[uc_synt]]="-","-",VLOOKUP(data[[#This Row],[uc_synt]],ucty_synt!A:T,20,0))</f>
        <v>-</v>
      </c>
      <c r="AA47" s="650" t="str">
        <f>IF(COUNTIF(proc_exc!A:A,data[[#This Row],[ucet]])&gt;1,"chyba v proc_exc!",IF(COUNTIF(proc_exc!A:A,data[[#This Row],[ucet]])=1,VLOOKUP(data[[#This Row],[ucet]],proc_exc!A:E,5,0),data[[#This Row],[proces default]]))</f>
        <v>-</v>
      </c>
    </row>
    <row r="48" spans="2:27" x14ac:dyDescent="0.3">
      <c r="B48" s="36"/>
      <c r="C48" s="32"/>
      <c r="J48" s="15" t="str">
        <f t="shared" si="9"/>
        <v xml:space="preserve"> </v>
      </c>
      <c r="K48" s="3" t="str">
        <f>IF(I48=0,"-",VALUE(LEFT(D48,LEN(D48)-(INDEX!$E$13-3))))</f>
        <v>-</v>
      </c>
      <c r="L48" s="5" t="str">
        <f>IF(I48=0,"-",VLOOKUP(K48,ucty_synt!A:B,2,0))</f>
        <v>-</v>
      </c>
      <c r="M48" s="15" t="str">
        <f>IF(S48="-","-",VLOOKUP(K48,ucty_synt!A:S,3,0))</f>
        <v>-</v>
      </c>
      <c r="N48" s="15" t="str">
        <f>IF(I48=0,"-",IF(M48="Rozvaha",VLOOKUP(S48,'radky_R'!A:O,6,0),IF(M48="Výsledovka",VLOOKUP(S48,'radky_V'!A:M,6,0),"-")))</f>
        <v>-</v>
      </c>
      <c r="O48" s="3" t="str">
        <f>IF(I48=0,"-",IF(COUNTIF(ucty_synt!A:A,K48)=0,"účet n/a",IF(VLOOKUP(K48,ucty_synt!A:S,4,0)=RIGHT($P$1,5),"podle AÚ",IF(VLOOKUP(K48,ucty_synt!A:S,4,0)=RIGHT($Q$1,5),"podle SÚ",IF(SUMIF(ucty_synt!A:A,K48,ucty_synt!E:E)&lt;&gt;0,VLOOKUP(K48,ucty_synt!A:T,5,0),"doplnit")))))</f>
        <v>-</v>
      </c>
      <c r="P48" s="3" t="str">
        <f>IF(I48=0,"-",IF(VLOOKUP(K48,ucty_synt!A:S,4,0)=RIGHT($P$1,5),IF(SUMIFS(I:I,C:C,C48,D:D,D48)&gt;=0,VLOOKUP(K48,ucty_synt!A:E,5,0),VLOOKUP(K48,ucty_synt!A:L,12,0)),"-"))</f>
        <v>-</v>
      </c>
      <c r="Q48" s="3" t="str">
        <f>IF(I48=0,"-",IF(VLOOKUP(K48,ucty_synt!A:S,4,0)=RIGHT($Q$1,5),IF(SUMIFS(I:I,C:C,C48,K:K,K48)&gt;=0,VLOOKUP(K48,ucty_synt!A:E,5,0),VLOOKUP(K48,ucty_synt!A:L,12,0)),"-"))</f>
        <v>-</v>
      </c>
      <c r="R48" s="459"/>
      <c r="S48" s="8" t="str">
        <f t="shared" si="10"/>
        <v>-</v>
      </c>
      <c r="T48" s="15" t="str">
        <f>IF(S48="-","-",IF(M48="Rozvaha",VLOOKUP(S48,'radky_R'!A:O,14,0),IF(M48="Výsledovka",VLOOKUP(S48,'radky_V'!A:M,12,0),"-")))</f>
        <v>-</v>
      </c>
      <c r="U48" s="20" t="str">
        <f>IF(I48=0,"-",IF(M48="Rozvaha",VLOOKUP(S48,'radky_R'!A:O,8,0),IF(M48="Výsledovka",VLOOKUP(S48,'radky_V'!A:M,8,0),"-")))</f>
        <v>-</v>
      </c>
      <c r="V48" s="20" t="str">
        <f>IF(I48=0,"-",IF(M48="Rozvaha",VLOOKUP(S48,'radky_R'!A:O,9,0),IF(M48="Výsledovka",VLOOKUP(S48,'radky_V'!A:M,9,0),"-")))</f>
        <v>-</v>
      </c>
      <c r="W48" s="104" t="str">
        <f>IF(I48=0,"-",IF(M48="Rozvaha",VLOOKUP(S48,'radky_R'!A:O,15,0),IF(M48="Výsledovka",VLOOKUP(S48,'radky_V'!A:M,11,0),"-")))</f>
        <v>-</v>
      </c>
      <c r="X48" s="5" t="str">
        <f>IF(I48=0,"-",VLOOKUP(K48,ucty_synt!A:S,19,0))</f>
        <v>-</v>
      </c>
      <c r="Y48" s="6">
        <f t="shared" si="11"/>
        <v>0</v>
      </c>
      <c r="Z48" s="650" t="str">
        <f>IF(data[[#This Row],[uc_synt]]="-","-",VLOOKUP(data[[#This Row],[uc_synt]],ucty_synt!A:T,20,0))</f>
        <v>-</v>
      </c>
      <c r="AA48" s="650" t="str">
        <f>IF(COUNTIF(proc_exc!A:A,data[[#This Row],[ucet]])&gt;1,"chyba v proc_exc!",IF(COUNTIF(proc_exc!A:A,data[[#This Row],[ucet]])=1,VLOOKUP(data[[#This Row],[ucet]],proc_exc!A:E,5,0),data[[#This Row],[proces default]]))</f>
        <v>-</v>
      </c>
    </row>
    <row r="49" spans="2:27" x14ac:dyDescent="0.3">
      <c r="B49" s="36"/>
      <c r="C49" s="32"/>
      <c r="J49" s="15" t="str">
        <f t="shared" si="9"/>
        <v xml:space="preserve"> </v>
      </c>
      <c r="K49" s="3" t="str">
        <f>IF(I49=0,"-",VALUE(LEFT(D49,LEN(D49)-(INDEX!$E$13-3))))</f>
        <v>-</v>
      </c>
      <c r="L49" s="5" t="str">
        <f>IF(I49=0,"-",VLOOKUP(K49,ucty_synt!A:B,2,0))</f>
        <v>-</v>
      </c>
      <c r="M49" s="15" t="str">
        <f>IF(S49="-","-",VLOOKUP(K49,ucty_synt!A:S,3,0))</f>
        <v>-</v>
      </c>
      <c r="N49" s="15" t="str">
        <f>IF(I49=0,"-",IF(M49="Rozvaha",VLOOKUP(S49,'radky_R'!A:O,6,0),IF(M49="Výsledovka",VLOOKUP(S49,'radky_V'!A:M,6,0),"-")))</f>
        <v>-</v>
      </c>
      <c r="O49" s="3" t="str">
        <f>IF(I49=0,"-",IF(COUNTIF(ucty_synt!A:A,K49)=0,"účet n/a",IF(VLOOKUP(K49,ucty_synt!A:S,4,0)=RIGHT($P$1,5),"podle AÚ",IF(VLOOKUP(K49,ucty_synt!A:S,4,0)=RIGHT($Q$1,5),"podle SÚ",IF(SUMIF(ucty_synt!A:A,K49,ucty_synt!E:E)&lt;&gt;0,VLOOKUP(K49,ucty_synt!A:T,5,0),"doplnit")))))</f>
        <v>-</v>
      </c>
      <c r="P49" s="3" t="str">
        <f>IF(I49=0,"-",IF(VLOOKUP(K49,ucty_synt!A:S,4,0)=RIGHT($P$1,5),IF(SUMIFS(I:I,C:C,C49,D:D,D49)&gt;=0,VLOOKUP(K49,ucty_synt!A:E,5,0),VLOOKUP(K49,ucty_synt!A:L,12,0)),"-"))</f>
        <v>-</v>
      </c>
      <c r="Q49" s="3" t="str">
        <f>IF(I49=0,"-",IF(VLOOKUP(K49,ucty_synt!A:S,4,0)=RIGHT($Q$1,5),IF(SUMIFS(I:I,C:C,C49,K:K,K49)&gt;=0,VLOOKUP(K49,ucty_synt!A:E,5,0),VLOOKUP(K49,ucty_synt!A:L,12,0)),"-"))</f>
        <v>-</v>
      </c>
      <c r="R49" s="459"/>
      <c r="S49" s="8" t="str">
        <f t="shared" si="10"/>
        <v>-</v>
      </c>
      <c r="T49" s="15" t="str">
        <f>IF(S49="-","-",IF(M49="Rozvaha",VLOOKUP(S49,'radky_R'!A:O,14,0),IF(M49="Výsledovka",VLOOKUP(S49,'radky_V'!A:M,12,0),"-")))</f>
        <v>-</v>
      </c>
      <c r="U49" s="20" t="str">
        <f>IF(I49=0,"-",IF(M49="Rozvaha",VLOOKUP(S49,'radky_R'!A:O,8,0),IF(M49="Výsledovka",VLOOKUP(S49,'radky_V'!A:M,8,0),"-")))</f>
        <v>-</v>
      </c>
      <c r="V49" s="20" t="str">
        <f>IF(I49=0,"-",IF(M49="Rozvaha",VLOOKUP(S49,'radky_R'!A:O,9,0),IF(M49="Výsledovka",VLOOKUP(S49,'radky_V'!A:M,9,0),"-")))</f>
        <v>-</v>
      </c>
      <c r="W49" s="104" t="str">
        <f>IF(I49=0,"-",IF(M49="Rozvaha",VLOOKUP(S49,'radky_R'!A:O,15,0),IF(M49="Výsledovka",VLOOKUP(S49,'radky_V'!A:M,11,0),"-")))</f>
        <v>-</v>
      </c>
      <c r="X49" s="5" t="str">
        <f>IF(I49=0,"-",VLOOKUP(K49,ucty_synt!A:S,19,0))</f>
        <v>-</v>
      </c>
      <c r="Y49" s="6">
        <f t="shared" si="11"/>
        <v>0</v>
      </c>
      <c r="Z49" s="650" t="str">
        <f>IF(data[[#This Row],[uc_synt]]="-","-",VLOOKUP(data[[#This Row],[uc_synt]],ucty_synt!A:T,20,0))</f>
        <v>-</v>
      </c>
      <c r="AA49" s="650" t="str">
        <f>IF(COUNTIF(proc_exc!A:A,data[[#This Row],[ucet]])&gt;1,"chyba v proc_exc!",IF(COUNTIF(proc_exc!A:A,data[[#This Row],[ucet]])=1,VLOOKUP(data[[#This Row],[ucet]],proc_exc!A:E,5,0),data[[#This Row],[proces default]]))</f>
        <v>-</v>
      </c>
    </row>
    <row r="50" spans="2:27" x14ac:dyDescent="0.3">
      <c r="B50" s="36"/>
      <c r="C50" s="32"/>
      <c r="J50" s="15" t="str">
        <f t="shared" si="9"/>
        <v xml:space="preserve"> </v>
      </c>
      <c r="K50" s="3" t="str">
        <f>IF(I50=0,"-",VALUE(LEFT(D50,LEN(D50)-(INDEX!$E$13-3))))</f>
        <v>-</v>
      </c>
      <c r="L50" s="5" t="str">
        <f>IF(I50=0,"-",VLOOKUP(K50,ucty_synt!A:B,2,0))</f>
        <v>-</v>
      </c>
      <c r="M50" s="15" t="str">
        <f>IF(S50="-","-",VLOOKUP(K50,ucty_synt!A:S,3,0))</f>
        <v>-</v>
      </c>
      <c r="N50" s="15" t="str">
        <f>IF(I50=0,"-",IF(M50="Rozvaha",VLOOKUP(S50,'radky_R'!A:O,6,0),IF(M50="Výsledovka",VLOOKUP(S50,'radky_V'!A:M,6,0),"-")))</f>
        <v>-</v>
      </c>
      <c r="O50" s="3" t="str">
        <f>IF(I50=0,"-",IF(COUNTIF(ucty_synt!A:A,K50)=0,"účet n/a",IF(VLOOKUP(K50,ucty_synt!A:S,4,0)=RIGHT($P$1,5),"podle AÚ",IF(VLOOKUP(K50,ucty_synt!A:S,4,0)=RIGHT($Q$1,5),"podle SÚ",IF(SUMIF(ucty_synt!A:A,K50,ucty_synt!E:E)&lt;&gt;0,VLOOKUP(K50,ucty_synt!A:T,5,0),"doplnit")))))</f>
        <v>-</v>
      </c>
      <c r="P50" s="3" t="str">
        <f>IF(I50=0,"-",IF(VLOOKUP(K50,ucty_synt!A:S,4,0)=RIGHT($P$1,5),IF(SUMIFS(I:I,C:C,C50,D:D,D50)&gt;=0,VLOOKUP(K50,ucty_synt!A:E,5,0),VLOOKUP(K50,ucty_synt!A:L,12,0)),"-"))</f>
        <v>-</v>
      </c>
      <c r="Q50" s="3" t="str">
        <f>IF(I50=0,"-",IF(VLOOKUP(K50,ucty_synt!A:S,4,0)=RIGHT($Q$1,5),IF(SUMIFS(I:I,C:C,C50,K:K,K50)&gt;=0,VLOOKUP(K50,ucty_synt!A:E,5,0),VLOOKUP(K50,ucty_synt!A:L,12,0)),"-"))</f>
        <v>-</v>
      </c>
      <c r="R50" s="459"/>
      <c r="S50" s="8" t="str">
        <f t="shared" si="10"/>
        <v>-</v>
      </c>
      <c r="T50" s="15" t="str">
        <f>IF(S50="-","-",IF(M50="Rozvaha",VLOOKUP(S50,'radky_R'!A:O,14,0),IF(M50="Výsledovka",VLOOKUP(S50,'radky_V'!A:M,12,0),"-")))</f>
        <v>-</v>
      </c>
      <c r="U50" s="20" t="str">
        <f>IF(I50=0,"-",IF(M50="Rozvaha",VLOOKUP(S50,'radky_R'!A:O,8,0),IF(M50="Výsledovka",VLOOKUP(S50,'radky_V'!A:M,8,0),"-")))</f>
        <v>-</v>
      </c>
      <c r="V50" s="20" t="str">
        <f>IF(I50=0,"-",IF(M50="Rozvaha",VLOOKUP(S50,'radky_R'!A:O,9,0),IF(M50="Výsledovka",VLOOKUP(S50,'radky_V'!A:M,9,0),"-")))</f>
        <v>-</v>
      </c>
      <c r="W50" s="104" t="str">
        <f>IF(I50=0,"-",IF(M50="Rozvaha",VLOOKUP(S50,'radky_R'!A:O,15,0),IF(M50="Výsledovka",VLOOKUP(S50,'radky_V'!A:M,11,0),"-")))</f>
        <v>-</v>
      </c>
      <c r="X50" s="5" t="str">
        <f>IF(I50=0,"-",VLOOKUP(K50,ucty_synt!A:S,19,0))</f>
        <v>-</v>
      </c>
      <c r="Y50" s="6">
        <f t="shared" si="11"/>
        <v>0</v>
      </c>
      <c r="Z50" s="650" t="str">
        <f>IF(data[[#This Row],[uc_synt]]="-","-",VLOOKUP(data[[#This Row],[uc_synt]],ucty_synt!A:T,20,0))</f>
        <v>-</v>
      </c>
      <c r="AA50" s="650" t="str">
        <f>IF(COUNTIF(proc_exc!A:A,data[[#This Row],[ucet]])&gt;1,"chyba v proc_exc!",IF(COUNTIF(proc_exc!A:A,data[[#This Row],[ucet]])=1,VLOOKUP(data[[#This Row],[ucet]],proc_exc!A:E,5,0),data[[#This Row],[proces default]]))</f>
        <v>-</v>
      </c>
    </row>
    <row r="51" spans="2:27" x14ac:dyDescent="0.3">
      <c r="B51" s="36"/>
      <c r="C51" s="32"/>
      <c r="J51" s="15" t="str">
        <f t="shared" si="9"/>
        <v xml:space="preserve"> </v>
      </c>
      <c r="K51" s="3" t="str">
        <f>IF(I51=0,"-",VALUE(LEFT(D51,LEN(D51)-(INDEX!$E$13-3))))</f>
        <v>-</v>
      </c>
      <c r="L51" s="5" t="str">
        <f>IF(I51=0,"-",VLOOKUP(K51,ucty_synt!A:B,2,0))</f>
        <v>-</v>
      </c>
      <c r="M51" s="15" t="str">
        <f>IF(S51="-","-",VLOOKUP(K51,ucty_synt!A:S,3,0))</f>
        <v>-</v>
      </c>
      <c r="N51" s="15" t="str">
        <f>IF(I51=0,"-",IF(M51="Rozvaha",VLOOKUP(S51,'radky_R'!A:O,6,0),IF(M51="Výsledovka",VLOOKUP(S51,'radky_V'!A:M,6,0),"-")))</f>
        <v>-</v>
      </c>
      <c r="O51" s="3" t="str">
        <f>IF(I51=0,"-",IF(COUNTIF(ucty_synt!A:A,K51)=0,"účet n/a",IF(VLOOKUP(K51,ucty_synt!A:S,4,0)=RIGHT($P$1,5),"podle AÚ",IF(VLOOKUP(K51,ucty_synt!A:S,4,0)=RIGHT($Q$1,5),"podle SÚ",IF(SUMIF(ucty_synt!A:A,K51,ucty_synt!E:E)&lt;&gt;0,VLOOKUP(K51,ucty_synt!A:T,5,0),"doplnit")))))</f>
        <v>-</v>
      </c>
      <c r="P51" s="3" t="str">
        <f>IF(I51=0,"-",IF(VLOOKUP(K51,ucty_synt!A:S,4,0)=RIGHT($P$1,5),IF(SUMIFS(I:I,C:C,C51,D:D,D51)&gt;=0,VLOOKUP(K51,ucty_synt!A:E,5,0),VLOOKUP(K51,ucty_synt!A:L,12,0)),"-"))</f>
        <v>-</v>
      </c>
      <c r="Q51" s="3" t="str">
        <f>IF(I51=0,"-",IF(VLOOKUP(K51,ucty_synt!A:S,4,0)=RIGHT($Q$1,5),IF(SUMIFS(I:I,C:C,C51,K:K,K51)&gt;=0,VLOOKUP(K51,ucty_synt!A:E,5,0),VLOOKUP(K51,ucty_synt!A:L,12,0)),"-"))</f>
        <v>-</v>
      </c>
      <c r="R51" s="459"/>
      <c r="S51" s="8" t="str">
        <f t="shared" si="10"/>
        <v>-</v>
      </c>
      <c r="T51" s="15" t="str">
        <f>IF(S51="-","-",IF(M51="Rozvaha",VLOOKUP(S51,'radky_R'!A:O,14,0),IF(M51="Výsledovka",VLOOKUP(S51,'radky_V'!A:M,12,0),"-")))</f>
        <v>-</v>
      </c>
      <c r="U51" s="20" t="str">
        <f>IF(I51=0,"-",IF(M51="Rozvaha",VLOOKUP(S51,'radky_R'!A:O,8,0),IF(M51="Výsledovka",VLOOKUP(S51,'radky_V'!A:M,8,0),"-")))</f>
        <v>-</v>
      </c>
      <c r="V51" s="20" t="str">
        <f>IF(I51=0,"-",IF(M51="Rozvaha",VLOOKUP(S51,'radky_R'!A:O,9,0),IF(M51="Výsledovka",VLOOKUP(S51,'radky_V'!A:M,9,0),"-")))</f>
        <v>-</v>
      </c>
      <c r="W51" s="104" t="str">
        <f>IF(I51=0,"-",IF(M51="Rozvaha",VLOOKUP(S51,'radky_R'!A:O,15,0),IF(M51="Výsledovka",VLOOKUP(S51,'radky_V'!A:M,11,0),"-")))</f>
        <v>-</v>
      </c>
      <c r="X51" s="5" t="str">
        <f>IF(I51=0,"-",VLOOKUP(K51,ucty_synt!A:S,19,0))</f>
        <v>-</v>
      </c>
      <c r="Y51" s="6">
        <f t="shared" si="11"/>
        <v>0</v>
      </c>
      <c r="Z51" s="650" t="str">
        <f>IF(data[[#This Row],[uc_synt]]="-","-",VLOOKUP(data[[#This Row],[uc_synt]],ucty_synt!A:T,20,0))</f>
        <v>-</v>
      </c>
      <c r="AA51" s="650" t="str">
        <f>IF(COUNTIF(proc_exc!A:A,data[[#This Row],[ucet]])&gt;1,"chyba v proc_exc!",IF(COUNTIF(proc_exc!A:A,data[[#This Row],[ucet]])=1,VLOOKUP(data[[#This Row],[ucet]],proc_exc!A:E,5,0),data[[#This Row],[proces default]]))</f>
        <v>-</v>
      </c>
    </row>
    <row r="52" spans="2:27" x14ac:dyDescent="0.3">
      <c r="B52" s="36"/>
      <c r="C52" s="32"/>
      <c r="J52" s="15" t="str">
        <f t="shared" si="9"/>
        <v xml:space="preserve"> </v>
      </c>
      <c r="K52" s="3" t="str">
        <f>IF(I52=0,"-",VALUE(LEFT(D52,LEN(D52)-(INDEX!$E$13-3))))</f>
        <v>-</v>
      </c>
      <c r="L52" s="5" t="str">
        <f>IF(I52=0,"-",VLOOKUP(K52,ucty_synt!A:B,2,0))</f>
        <v>-</v>
      </c>
      <c r="M52" s="15" t="str">
        <f>IF(S52="-","-",VLOOKUP(K52,ucty_synt!A:S,3,0))</f>
        <v>-</v>
      </c>
      <c r="N52" s="15" t="str">
        <f>IF(I52=0,"-",IF(M52="Rozvaha",VLOOKUP(S52,'radky_R'!A:O,6,0),IF(M52="Výsledovka",VLOOKUP(S52,'radky_V'!A:M,6,0),"-")))</f>
        <v>-</v>
      </c>
      <c r="O52" s="3" t="str">
        <f>IF(I52=0,"-",IF(COUNTIF(ucty_synt!A:A,K52)=0,"účet n/a",IF(VLOOKUP(K52,ucty_synt!A:S,4,0)=RIGHT($P$1,5),"podle AÚ",IF(VLOOKUP(K52,ucty_synt!A:S,4,0)=RIGHT($Q$1,5),"podle SÚ",IF(SUMIF(ucty_synt!A:A,K52,ucty_synt!E:E)&lt;&gt;0,VLOOKUP(K52,ucty_synt!A:T,5,0),"doplnit")))))</f>
        <v>-</v>
      </c>
      <c r="P52" s="3" t="str">
        <f>IF(I52=0,"-",IF(VLOOKUP(K52,ucty_synt!A:S,4,0)=RIGHT($P$1,5),IF(SUMIFS(I:I,C:C,C52,D:D,D52)&gt;=0,VLOOKUP(K52,ucty_synt!A:E,5,0),VLOOKUP(K52,ucty_synt!A:L,12,0)),"-"))</f>
        <v>-</v>
      </c>
      <c r="Q52" s="3" t="str">
        <f>IF(I52=0,"-",IF(VLOOKUP(K52,ucty_synt!A:S,4,0)=RIGHT($Q$1,5),IF(SUMIFS(I:I,C:C,C52,K:K,K52)&gt;=0,VLOOKUP(K52,ucty_synt!A:E,5,0),VLOOKUP(K52,ucty_synt!A:L,12,0)),"-"))</f>
        <v>-</v>
      </c>
      <c r="R52" s="459"/>
      <c r="S52" s="8" t="str">
        <f t="shared" si="10"/>
        <v>-</v>
      </c>
      <c r="T52" s="15" t="str">
        <f>IF(S52="-","-",IF(M52="Rozvaha",VLOOKUP(S52,'radky_R'!A:O,14,0),IF(M52="Výsledovka",VLOOKUP(S52,'radky_V'!A:M,12,0),"-")))</f>
        <v>-</v>
      </c>
      <c r="U52" s="20" t="str">
        <f>IF(I52=0,"-",IF(M52="Rozvaha",VLOOKUP(S52,'radky_R'!A:O,8,0),IF(M52="Výsledovka",VLOOKUP(S52,'radky_V'!A:M,8,0),"-")))</f>
        <v>-</v>
      </c>
      <c r="V52" s="20" t="str">
        <f>IF(I52=0,"-",IF(M52="Rozvaha",VLOOKUP(S52,'radky_R'!A:O,9,0),IF(M52="Výsledovka",VLOOKUP(S52,'radky_V'!A:M,9,0),"-")))</f>
        <v>-</v>
      </c>
      <c r="W52" s="104" t="str">
        <f>IF(I52=0,"-",IF(M52="Rozvaha",VLOOKUP(S52,'radky_R'!A:O,15,0),IF(M52="Výsledovka",VLOOKUP(S52,'radky_V'!A:M,11,0),"-")))</f>
        <v>-</v>
      </c>
      <c r="X52" s="5" t="str">
        <f>IF(I52=0,"-",VLOOKUP(K52,ucty_synt!A:S,19,0))</f>
        <v>-</v>
      </c>
      <c r="Y52" s="6">
        <f t="shared" si="11"/>
        <v>0</v>
      </c>
      <c r="Z52" s="650" t="str">
        <f>IF(data[[#This Row],[uc_synt]]="-","-",VLOOKUP(data[[#This Row],[uc_synt]],ucty_synt!A:T,20,0))</f>
        <v>-</v>
      </c>
      <c r="AA52" s="650" t="str">
        <f>IF(COUNTIF(proc_exc!A:A,data[[#This Row],[ucet]])&gt;1,"chyba v proc_exc!",IF(COUNTIF(proc_exc!A:A,data[[#This Row],[ucet]])=1,VLOOKUP(data[[#This Row],[ucet]],proc_exc!A:E,5,0),data[[#This Row],[proces default]]))</f>
        <v>-</v>
      </c>
    </row>
    <row r="53" spans="2:27" x14ac:dyDescent="0.3">
      <c r="B53" s="36"/>
      <c r="C53" s="32"/>
      <c r="J53" s="15" t="str">
        <f t="shared" si="9"/>
        <v xml:space="preserve"> </v>
      </c>
      <c r="K53" s="3" t="str">
        <f>IF(I53=0,"-",VALUE(LEFT(D53,LEN(D53)-(INDEX!$E$13-3))))</f>
        <v>-</v>
      </c>
      <c r="L53" s="5" t="str">
        <f>IF(I53=0,"-",VLOOKUP(K53,ucty_synt!A:B,2,0))</f>
        <v>-</v>
      </c>
      <c r="M53" s="15" t="str">
        <f>IF(S53="-","-",VLOOKUP(K53,ucty_synt!A:S,3,0))</f>
        <v>-</v>
      </c>
      <c r="N53" s="15" t="str">
        <f>IF(I53=0,"-",IF(M53="Rozvaha",VLOOKUP(S53,'radky_R'!A:O,6,0),IF(M53="Výsledovka",VLOOKUP(S53,'radky_V'!A:M,6,0),"-")))</f>
        <v>-</v>
      </c>
      <c r="O53" s="3" t="str">
        <f>IF(I53=0,"-",IF(COUNTIF(ucty_synt!A:A,K53)=0,"účet n/a",IF(VLOOKUP(K53,ucty_synt!A:S,4,0)=RIGHT($P$1,5),"podle AÚ",IF(VLOOKUP(K53,ucty_synt!A:S,4,0)=RIGHT($Q$1,5),"podle SÚ",IF(SUMIF(ucty_synt!A:A,K53,ucty_synt!E:E)&lt;&gt;0,VLOOKUP(K53,ucty_synt!A:T,5,0),"doplnit")))))</f>
        <v>-</v>
      </c>
      <c r="P53" s="3" t="str">
        <f>IF(I53=0,"-",IF(VLOOKUP(K53,ucty_synt!A:S,4,0)=RIGHT($P$1,5),IF(SUMIFS(I:I,C:C,C53,D:D,D53)&gt;=0,VLOOKUP(K53,ucty_synt!A:E,5,0),VLOOKUP(K53,ucty_synt!A:L,12,0)),"-"))</f>
        <v>-</v>
      </c>
      <c r="Q53" s="3" t="str">
        <f>IF(I53=0,"-",IF(VLOOKUP(K53,ucty_synt!A:S,4,0)=RIGHT($Q$1,5),IF(SUMIFS(I:I,C:C,C53,K:K,K53)&gt;=0,VLOOKUP(K53,ucty_synt!A:E,5,0),VLOOKUP(K53,ucty_synt!A:L,12,0)),"-"))</f>
        <v>-</v>
      </c>
      <c r="R53" s="459"/>
      <c r="S53" s="8" t="str">
        <f t="shared" si="10"/>
        <v>-</v>
      </c>
      <c r="T53" s="15" t="str">
        <f>IF(S53="-","-",IF(M53="Rozvaha",VLOOKUP(S53,'radky_R'!A:O,14,0),IF(M53="Výsledovka",VLOOKUP(S53,'radky_V'!A:M,12,0),"-")))</f>
        <v>-</v>
      </c>
      <c r="U53" s="20" t="str">
        <f>IF(I53=0,"-",IF(M53="Rozvaha",VLOOKUP(S53,'radky_R'!A:O,8,0),IF(M53="Výsledovka",VLOOKUP(S53,'radky_V'!A:M,8,0),"-")))</f>
        <v>-</v>
      </c>
      <c r="V53" s="20" t="str">
        <f>IF(I53=0,"-",IF(M53="Rozvaha",VLOOKUP(S53,'radky_R'!A:O,9,0),IF(M53="Výsledovka",VLOOKUP(S53,'radky_V'!A:M,9,0),"-")))</f>
        <v>-</v>
      </c>
      <c r="W53" s="104" t="str">
        <f>IF(I53=0,"-",IF(M53="Rozvaha",VLOOKUP(S53,'radky_R'!A:O,15,0),IF(M53="Výsledovka",VLOOKUP(S53,'radky_V'!A:M,11,0),"-")))</f>
        <v>-</v>
      </c>
      <c r="X53" s="5" t="str">
        <f>IF(I53=0,"-",VLOOKUP(K53,ucty_synt!A:S,19,0))</f>
        <v>-</v>
      </c>
      <c r="Y53" s="6">
        <f t="shared" si="11"/>
        <v>0</v>
      </c>
      <c r="Z53" s="650" t="str">
        <f>IF(data[[#This Row],[uc_synt]]="-","-",VLOOKUP(data[[#This Row],[uc_synt]],ucty_synt!A:T,20,0))</f>
        <v>-</v>
      </c>
      <c r="AA53" s="650" t="str">
        <f>IF(COUNTIF(proc_exc!A:A,data[[#This Row],[ucet]])&gt;1,"chyba v proc_exc!",IF(COUNTIF(proc_exc!A:A,data[[#This Row],[ucet]])=1,VLOOKUP(data[[#This Row],[ucet]],proc_exc!A:E,5,0),data[[#This Row],[proces default]]))</f>
        <v>-</v>
      </c>
    </row>
    <row r="54" spans="2:27" x14ac:dyDescent="0.3">
      <c r="B54" s="36"/>
      <c r="C54" s="32"/>
      <c r="J54" s="15" t="str">
        <f t="shared" si="9"/>
        <v xml:space="preserve"> </v>
      </c>
      <c r="K54" s="3" t="str">
        <f>IF(I54=0,"-",VALUE(LEFT(D54,LEN(D54)-(INDEX!$E$13-3))))</f>
        <v>-</v>
      </c>
      <c r="L54" s="5" t="str">
        <f>IF(I54=0,"-",VLOOKUP(K54,ucty_synt!A:B,2,0))</f>
        <v>-</v>
      </c>
      <c r="M54" s="15" t="str">
        <f>IF(S54="-","-",VLOOKUP(K54,ucty_synt!A:S,3,0))</f>
        <v>-</v>
      </c>
      <c r="N54" s="15" t="str">
        <f>IF(I54=0,"-",IF(M54="Rozvaha",VLOOKUP(S54,'radky_R'!A:O,6,0),IF(M54="Výsledovka",VLOOKUP(S54,'radky_V'!A:M,6,0),"-")))</f>
        <v>-</v>
      </c>
      <c r="O54" s="3" t="str">
        <f>IF(I54=0,"-",IF(COUNTIF(ucty_synt!A:A,K54)=0,"účet n/a",IF(VLOOKUP(K54,ucty_synt!A:S,4,0)=RIGHT($P$1,5),"podle AÚ",IF(VLOOKUP(K54,ucty_synt!A:S,4,0)=RIGHT($Q$1,5),"podle SÚ",IF(SUMIF(ucty_synt!A:A,K54,ucty_synt!E:E)&lt;&gt;0,VLOOKUP(K54,ucty_synt!A:T,5,0),"doplnit")))))</f>
        <v>-</v>
      </c>
      <c r="P54" s="3" t="str">
        <f>IF(I54=0,"-",IF(VLOOKUP(K54,ucty_synt!A:S,4,0)=RIGHT($P$1,5),IF(SUMIFS(I:I,C:C,C54,D:D,D54)&gt;=0,VLOOKUP(K54,ucty_synt!A:E,5,0),VLOOKUP(K54,ucty_synt!A:L,12,0)),"-"))</f>
        <v>-</v>
      </c>
      <c r="Q54" s="3" t="str">
        <f>IF(I54=0,"-",IF(VLOOKUP(K54,ucty_synt!A:S,4,0)=RIGHT($Q$1,5),IF(SUMIFS(I:I,C:C,C54,K:K,K54)&gt;=0,VLOOKUP(K54,ucty_synt!A:E,5,0),VLOOKUP(K54,ucty_synt!A:L,12,0)),"-"))</f>
        <v>-</v>
      </c>
      <c r="R54" s="459"/>
      <c r="S54" s="8" t="str">
        <f t="shared" si="10"/>
        <v>-</v>
      </c>
      <c r="T54" s="15" t="str">
        <f>IF(S54="-","-",IF(M54="Rozvaha",VLOOKUP(S54,'radky_R'!A:O,14,0),IF(M54="Výsledovka",VLOOKUP(S54,'radky_V'!A:M,12,0),"-")))</f>
        <v>-</v>
      </c>
      <c r="U54" s="20" t="str">
        <f>IF(I54=0,"-",IF(M54="Rozvaha",VLOOKUP(S54,'radky_R'!A:O,8,0),IF(M54="Výsledovka",VLOOKUP(S54,'radky_V'!A:M,8,0),"-")))</f>
        <v>-</v>
      </c>
      <c r="V54" s="20" t="str">
        <f>IF(I54=0,"-",IF(M54="Rozvaha",VLOOKUP(S54,'radky_R'!A:O,9,0),IF(M54="Výsledovka",VLOOKUP(S54,'radky_V'!A:M,9,0),"-")))</f>
        <v>-</v>
      </c>
      <c r="W54" s="104" t="str">
        <f>IF(I54=0,"-",IF(M54="Rozvaha",VLOOKUP(S54,'radky_R'!A:O,15,0),IF(M54="Výsledovka",VLOOKUP(S54,'radky_V'!A:M,11,0),"-")))</f>
        <v>-</v>
      </c>
      <c r="X54" s="5" t="str">
        <f>IF(I54=0,"-",VLOOKUP(K54,ucty_synt!A:S,19,0))</f>
        <v>-</v>
      </c>
      <c r="Y54" s="6">
        <f t="shared" si="11"/>
        <v>0</v>
      </c>
      <c r="Z54" s="650" t="str">
        <f>IF(data[[#This Row],[uc_synt]]="-","-",VLOOKUP(data[[#This Row],[uc_synt]],ucty_synt!A:T,20,0))</f>
        <v>-</v>
      </c>
      <c r="AA54" s="650" t="str">
        <f>IF(COUNTIF(proc_exc!A:A,data[[#This Row],[ucet]])&gt;1,"chyba v proc_exc!",IF(COUNTIF(proc_exc!A:A,data[[#This Row],[ucet]])=1,VLOOKUP(data[[#This Row],[ucet]],proc_exc!A:E,5,0),data[[#This Row],[proces default]]))</f>
        <v>-</v>
      </c>
    </row>
    <row r="55" spans="2:27" x14ac:dyDescent="0.3">
      <c r="B55" s="36"/>
      <c r="C55" s="32"/>
      <c r="J55" s="15" t="str">
        <f t="shared" si="9"/>
        <v xml:space="preserve"> </v>
      </c>
      <c r="K55" s="3" t="str">
        <f>IF(I55=0,"-",VALUE(LEFT(D55,LEN(D55)-(INDEX!$E$13-3))))</f>
        <v>-</v>
      </c>
      <c r="L55" s="5" t="str">
        <f>IF(I55=0,"-",VLOOKUP(K55,ucty_synt!A:B,2,0))</f>
        <v>-</v>
      </c>
      <c r="M55" s="15" t="str">
        <f>IF(S55="-","-",VLOOKUP(K55,ucty_synt!A:S,3,0))</f>
        <v>-</v>
      </c>
      <c r="N55" s="15" t="str">
        <f>IF(I55=0,"-",IF(M55="Rozvaha",VLOOKUP(S55,'radky_R'!A:O,6,0),IF(M55="Výsledovka",VLOOKUP(S55,'radky_V'!A:M,6,0),"-")))</f>
        <v>-</v>
      </c>
      <c r="O55" s="3" t="str">
        <f>IF(I55=0,"-",IF(COUNTIF(ucty_synt!A:A,K55)=0,"účet n/a",IF(VLOOKUP(K55,ucty_synt!A:S,4,0)=RIGHT($P$1,5),"podle AÚ",IF(VLOOKUP(K55,ucty_synt!A:S,4,0)=RIGHT($Q$1,5),"podle SÚ",IF(SUMIF(ucty_synt!A:A,K55,ucty_synt!E:E)&lt;&gt;0,VLOOKUP(K55,ucty_synt!A:T,5,0),"doplnit")))))</f>
        <v>-</v>
      </c>
      <c r="P55" s="3" t="str">
        <f>IF(I55=0,"-",IF(VLOOKUP(K55,ucty_synt!A:S,4,0)=RIGHT($P$1,5),IF(SUMIFS(I:I,C:C,C55,D:D,D55)&gt;=0,VLOOKUP(K55,ucty_synt!A:E,5,0),VLOOKUP(K55,ucty_synt!A:L,12,0)),"-"))</f>
        <v>-</v>
      </c>
      <c r="Q55" s="3" t="str">
        <f>IF(I55=0,"-",IF(VLOOKUP(K55,ucty_synt!A:S,4,0)=RIGHT($Q$1,5),IF(SUMIFS(I:I,C:C,C55,K:K,K55)&gt;=0,VLOOKUP(K55,ucty_synt!A:E,5,0),VLOOKUP(K55,ucty_synt!A:L,12,0)),"-"))</f>
        <v>-</v>
      </c>
      <c r="R55" s="459"/>
      <c r="S55" s="8" t="str">
        <f t="shared" si="10"/>
        <v>-</v>
      </c>
      <c r="T55" s="15" t="str">
        <f>IF(S55="-","-",IF(M55="Rozvaha",VLOOKUP(S55,'radky_R'!A:O,14,0),IF(M55="Výsledovka",VLOOKUP(S55,'radky_V'!A:M,12,0),"-")))</f>
        <v>-</v>
      </c>
      <c r="U55" s="20" t="str">
        <f>IF(I55=0,"-",IF(M55="Rozvaha",VLOOKUP(S55,'radky_R'!A:O,8,0),IF(M55="Výsledovka",VLOOKUP(S55,'radky_V'!A:M,8,0),"-")))</f>
        <v>-</v>
      </c>
      <c r="V55" s="20" t="str">
        <f>IF(I55=0,"-",IF(M55="Rozvaha",VLOOKUP(S55,'radky_R'!A:O,9,0),IF(M55="Výsledovka",VLOOKUP(S55,'radky_V'!A:M,9,0),"-")))</f>
        <v>-</v>
      </c>
      <c r="W55" s="104" t="str">
        <f>IF(I55=0,"-",IF(M55="Rozvaha",VLOOKUP(S55,'radky_R'!A:O,15,0),IF(M55="Výsledovka",VLOOKUP(S55,'radky_V'!A:M,11,0),"-")))</f>
        <v>-</v>
      </c>
      <c r="X55" s="5" t="str">
        <f>IF(I55=0,"-",VLOOKUP(K55,ucty_synt!A:S,19,0))</f>
        <v>-</v>
      </c>
      <c r="Y55" s="6">
        <f t="shared" si="11"/>
        <v>0</v>
      </c>
      <c r="Z55" s="650" t="str">
        <f>IF(data[[#This Row],[uc_synt]]="-","-",VLOOKUP(data[[#This Row],[uc_synt]],ucty_synt!A:T,20,0))</f>
        <v>-</v>
      </c>
      <c r="AA55" s="650" t="str">
        <f>IF(COUNTIF(proc_exc!A:A,data[[#This Row],[ucet]])&gt;1,"chyba v proc_exc!",IF(COUNTIF(proc_exc!A:A,data[[#This Row],[ucet]])=1,VLOOKUP(data[[#This Row],[ucet]],proc_exc!A:E,5,0),data[[#This Row],[proces default]]))</f>
        <v>-</v>
      </c>
    </row>
    <row r="56" spans="2:27" x14ac:dyDescent="0.3">
      <c r="B56" s="36"/>
      <c r="C56" s="32"/>
      <c r="J56" s="15" t="str">
        <f t="shared" si="9"/>
        <v xml:space="preserve"> </v>
      </c>
      <c r="K56" s="3" t="str">
        <f>IF(I56=0,"-",VALUE(LEFT(D56,LEN(D56)-(INDEX!$E$13-3))))</f>
        <v>-</v>
      </c>
      <c r="L56" s="5" t="str">
        <f>IF(I56=0,"-",VLOOKUP(K56,ucty_synt!A:B,2,0))</f>
        <v>-</v>
      </c>
      <c r="M56" s="15" t="str">
        <f>IF(S56="-","-",VLOOKUP(K56,ucty_synt!A:S,3,0))</f>
        <v>-</v>
      </c>
      <c r="N56" s="15" t="str">
        <f>IF(I56=0,"-",IF(M56="Rozvaha",VLOOKUP(S56,'radky_R'!A:O,6,0),IF(M56="Výsledovka",VLOOKUP(S56,'radky_V'!A:M,6,0),"-")))</f>
        <v>-</v>
      </c>
      <c r="O56" s="3" t="str">
        <f>IF(I56=0,"-",IF(COUNTIF(ucty_synt!A:A,K56)=0,"účet n/a",IF(VLOOKUP(K56,ucty_synt!A:S,4,0)=RIGHT($P$1,5),"podle AÚ",IF(VLOOKUP(K56,ucty_synt!A:S,4,0)=RIGHT($Q$1,5),"podle SÚ",IF(SUMIF(ucty_synt!A:A,K56,ucty_synt!E:E)&lt;&gt;0,VLOOKUP(K56,ucty_synt!A:T,5,0),"doplnit")))))</f>
        <v>-</v>
      </c>
      <c r="P56" s="3" t="str">
        <f>IF(I56=0,"-",IF(VLOOKUP(K56,ucty_synt!A:S,4,0)=RIGHT($P$1,5),IF(SUMIFS(I:I,C:C,C56,D:D,D56)&gt;=0,VLOOKUP(K56,ucty_synt!A:E,5,0),VLOOKUP(K56,ucty_synt!A:L,12,0)),"-"))</f>
        <v>-</v>
      </c>
      <c r="Q56" s="3" t="str">
        <f>IF(I56=0,"-",IF(VLOOKUP(K56,ucty_synt!A:S,4,0)=RIGHT($Q$1,5),IF(SUMIFS(I:I,C:C,C56,K:K,K56)&gt;=0,VLOOKUP(K56,ucty_synt!A:E,5,0),VLOOKUP(K56,ucty_synt!A:L,12,0)),"-"))</f>
        <v>-</v>
      </c>
      <c r="R56" s="459"/>
      <c r="S56" s="8" t="str">
        <f t="shared" si="10"/>
        <v>-</v>
      </c>
      <c r="T56" s="15" t="str">
        <f>IF(S56="-","-",IF(M56="Rozvaha",VLOOKUP(S56,'radky_R'!A:O,14,0),IF(M56="Výsledovka",VLOOKUP(S56,'radky_V'!A:M,12,0),"-")))</f>
        <v>-</v>
      </c>
      <c r="U56" s="20" t="str">
        <f>IF(I56=0,"-",IF(M56="Rozvaha",VLOOKUP(S56,'radky_R'!A:O,8,0),IF(M56="Výsledovka",VLOOKUP(S56,'radky_V'!A:M,8,0),"-")))</f>
        <v>-</v>
      </c>
      <c r="V56" s="20" t="str">
        <f>IF(I56=0,"-",IF(M56="Rozvaha",VLOOKUP(S56,'radky_R'!A:O,9,0),IF(M56="Výsledovka",VLOOKUP(S56,'radky_V'!A:M,9,0),"-")))</f>
        <v>-</v>
      </c>
      <c r="W56" s="104" t="str">
        <f>IF(I56=0,"-",IF(M56="Rozvaha",VLOOKUP(S56,'radky_R'!A:O,15,0),IF(M56="Výsledovka",VLOOKUP(S56,'radky_V'!A:M,11,0),"-")))</f>
        <v>-</v>
      </c>
      <c r="X56" s="5" t="str">
        <f>IF(I56=0,"-",VLOOKUP(K56,ucty_synt!A:S,19,0))</f>
        <v>-</v>
      </c>
      <c r="Y56" s="6">
        <f t="shared" si="11"/>
        <v>0</v>
      </c>
      <c r="Z56" s="650" t="str">
        <f>IF(data[[#This Row],[uc_synt]]="-","-",VLOOKUP(data[[#This Row],[uc_synt]],ucty_synt!A:T,20,0))</f>
        <v>-</v>
      </c>
      <c r="AA56" s="650" t="str">
        <f>IF(COUNTIF(proc_exc!A:A,data[[#This Row],[ucet]])&gt;1,"chyba v proc_exc!",IF(COUNTIF(proc_exc!A:A,data[[#This Row],[ucet]])=1,VLOOKUP(data[[#This Row],[ucet]],proc_exc!A:E,5,0),data[[#This Row],[proces default]]))</f>
        <v>-</v>
      </c>
    </row>
    <row r="57" spans="2:27" x14ac:dyDescent="0.3">
      <c r="B57" s="36"/>
      <c r="C57" s="32"/>
      <c r="J57" s="15" t="str">
        <f t="shared" si="9"/>
        <v xml:space="preserve"> </v>
      </c>
      <c r="K57" s="3" t="str">
        <f>IF(I57=0,"-",VALUE(LEFT(D57,LEN(D57)-(INDEX!$E$13-3))))</f>
        <v>-</v>
      </c>
      <c r="L57" s="5" t="str">
        <f>IF(I57=0,"-",VLOOKUP(K57,ucty_synt!A:B,2,0))</f>
        <v>-</v>
      </c>
      <c r="M57" s="15" t="str">
        <f>IF(S57="-","-",VLOOKUP(K57,ucty_synt!A:S,3,0))</f>
        <v>-</v>
      </c>
      <c r="N57" s="15" t="str">
        <f>IF(I57=0,"-",IF(M57="Rozvaha",VLOOKUP(S57,'radky_R'!A:O,6,0),IF(M57="Výsledovka",VLOOKUP(S57,'radky_V'!A:M,6,0),"-")))</f>
        <v>-</v>
      </c>
      <c r="O57" s="3" t="str">
        <f>IF(I57=0,"-",IF(COUNTIF(ucty_synt!A:A,K57)=0,"účet n/a",IF(VLOOKUP(K57,ucty_synt!A:S,4,0)=RIGHT($P$1,5),"podle AÚ",IF(VLOOKUP(K57,ucty_synt!A:S,4,0)=RIGHT($Q$1,5),"podle SÚ",IF(SUMIF(ucty_synt!A:A,K57,ucty_synt!E:E)&lt;&gt;0,VLOOKUP(K57,ucty_synt!A:T,5,0),"doplnit")))))</f>
        <v>-</v>
      </c>
      <c r="P57" s="3" t="str">
        <f>IF(I57=0,"-",IF(VLOOKUP(K57,ucty_synt!A:S,4,0)=RIGHT($P$1,5),IF(SUMIFS(I:I,C:C,C57,D:D,D57)&gt;=0,VLOOKUP(K57,ucty_synt!A:E,5,0),VLOOKUP(K57,ucty_synt!A:L,12,0)),"-"))</f>
        <v>-</v>
      </c>
      <c r="Q57" s="3" t="str">
        <f>IF(I57=0,"-",IF(VLOOKUP(K57,ucty_synt!A:S,4,0)=RIGHT($Q$1,5),IF(SUMIFS(I:I,C:C,C57,K:K,K57)&gt;=0,VLOOKUP(K57,ucty_synt!A:E,5,0),VLOOKUP(K57,ucty_synt!A:L,12,0)),"-"))</f>
        <v>-</v>
      </c>
      <c r="R57" s="459"/>
      <c r="S57" s="8" t="str">
        <f t="shared" si="10"/>
        <v>-</v>
      </c>
      <c r="T57" s="15" t="str">
        <f>IF(S57="-","-",IF(M57="Rozvaha",VLOOKUP(S57,'radky_R'!A:O,14,0),IF(M57="Výsledovka",VLOOKUP(S57,'radky_V'!A:M,12,0),"-")))</f>
        <v>-</v>
      </c>
      <c r="U57" s="20" t="str">
        <f>IF(I57=0,"-",IF(M57="Rozvaha",VLOOKUP(S57,'radky_R'!A:O,8,0),IF(M57="Výsledovka",VLOOKUP(S57,'radky_V'!A:M,8,0),"-")))</f>
        <v>-</v>
      </c>
      <c r="V57" s="20" t="str">
        <f>IF(I57=0,"-",IF(M57="Rozvaha",VLOOKUP(S57,'radky_R'!A:O,9,0),IF(M57="Výsledovka",VLOOKUP(S57,'radky_V'!A:M,9,0),"-")))</f>
        <v>-</v>
      </c>
      <c r="W57" s="104" t="str">
        <f>IF(I57=0,"-",IF(M57="Rozvaha",VLOOKUP(S57,'radky_R'!A:O,15,0),IF(M57="Výsledovka",VLOOKUP(S57,'radky_V'!A:M,11,0),"-")))</f>
        <v>-</v>
      </c>
      <c r="X57" s="5" t="str">
        <f>IF(I57=0,"-",VLOOKUP(K57,ucty_synt!A:S,19,0))</f>
        <v>-</v>
      </c>
      <c r="Y57" s="6">
        <f t="shared" si="11"/>
        <v>0</v>
      </c>
      <c r="Z57" s="650" t="str">
        <f>IF(data[[#This Row],[uc_synt]]="-","-",VLOOKUP(data[[#This Row],[uc_synt]],ucty_synt!A:T,20,0))</f>
        <v>-</v>
      </c>
      <c r="AA57" s="650" t="str">
        <f>IF(COUNTIF(proc_exc!A:A,data[[#This Row],[ucet]])&gt;1,"chyba v proc_exc!",IF(COUNTIF(proc_exc!A:A,data[[#This Row],[ucet]])=1,VLOOKUP(data[[#This Row],[ucet]],proc_exc!A:E,5,0),data[[#This Row],[proces default]]))</f>
        <v>-</v>
      </c>
    </row>
    <row r="58" spans="2:27" x14ac:dyDescent="0.3">
      <c r="B58" s="36"/>
      <c r="C58" s="32"/>
      <c r="J58" s="15" t="str">
        <f t="shared" si="9"/>
        <v xml:space="preserve"> </v>
      </c>
      <c r="K58" s="3" t="str">
        <f>IF(I58=0,"-",VALUE(LEFT(D58,LEN(D58)-(INDEX!$E$13-3))))</f>
        <v>-</v>
      </c>
      <c r="L58" s="5" t="str">
        <f>IF(I58=0,"-",VLOOKUP(K58,ucty_synt!A:B,2,0))</f>
        <v>-</v>
      </c>
      <c r="M58" s="15" t="str">
        <f>IF(S58="-","-",VLOOKUP(K58,ucty_synt!A:S,3,0))</f>
        <v>-</v>
      </c>
      <c r="N58" s="15" t="str">
        <f>IF(I58=0,"-",IF(M58="Rozvaha",VLOOKUP(S58,'radky_R'!A:O,6,0),IF(M58="Výsledovka",VLOOKUP(S58,'radky_V'!A:M,6,0),"-")))</f>
        <v>-</v>
      </c>
      <c r="O58" s="3" t="str">
        <f>IF(I58=0,"-",IF(COUNTIF(ucty_synt!A:A,K58)=0,"účet n/a",IF(VLOOKUP(K58,ucty_synt!A:S,4,0)=RIGHT($P$1,5),"podle AÚ",IF(VLOOKUP(K58,ucty_synt!A:S,4,0)=RIGHT($Q$1,5),"podle SÚ",IF(SUMIF(ucty_synt!A:A,K58,ucty_synt!E:E)&lt;&gt;0,VLOOKUP(K58,ucty_synt!A:T,5,0),"doplnit")))))</f>
        <v>-</v>
      </c>
      <c r="P58" s="3" t="str">
        <f>IF(I58=0,"-",IF(VLOOKUP(K58,ucty_synt!A:S,4,0)=RIGHT($P$1,5),IF(SUMIFS(I:I,C:C,C58,D:D,D58)&gt;=0,VLOOKUP(K58,ucty_synt!A:E,5,0),VLOOKUP(K58,ucty_synt!A:L,12,0)),"-"))</f>
        <v>-</v>
      </c>
      <c r="Q58" s="3" t="str">
        <f>IF(I58=0,"-",IF(VLOOKUP(K58,ucty_synt!A:S,4,0)=RIGHT($Q$1,5),IF(SUMIFS(I:I,C:C,C58,K:K,K58)&gt;=0,VLOOKUP(K58,ucty_synt!A:E,5,0),VLOOKUP(K58,ucty_synt!A:L,12,0)),"-"))</f>
        <v>-</v>
      </c>
      <c r="R58" s="459"/>
      <c r="S58" s="8" t="str">
        <f t="shared" si="10"/>
        <v>-</v>
      </c>
      <c r="T58" s="15" t="str">
        <f>IF(S58="-","-",IF(M58="Rozvaha",VLOOKUP(S58,'radky_R'!A:O,14,0),IF(M58="Výsledovka",VLOOKUP(S58,'radky_V'!A:M,12,0),"-")))</f>
        <v>-</v>
      </c>
      <c r="U58" s="20" t="str">
        <f>IF(I58=0,"-",IF(M58="Rozvaha",VLOOKUP(S58,'radky_R'!A:O,8,0),IF(M58="Výsledovka",VLOOKUP(S58,'radky_V'!A:M,8,0),"-")))</f>
        <v>-</v>
      </c>
      <c r="V58" s="20" t="str">
        <f>IF(I58=0,"-",IF(M58="Rozvaha",VLOOKUP(S58,'radky_R'!A:O,9,0),IF(M58="Výsledovka",VLOOKUP(S58,'radky_V'!A:M,9,0),"-")))</f>
        <v>-</v>
      </c>
      <c r="W58" s="104" t="str">
        <f>IF(I58=0,"-",IF(M58="Rozvaha",VLOOKUP(S58,'radky_R'!A:O,15,0),IF(M58="Výsledovka",VLOOKUP(S58,'radky_V'!A:M,11,0),"-")))</f>
        <v>-</v>
      </c>
      <c r="X58" s="5" t="str">
        <f>IF(I58=0,"-",VLOOKUP(K58,ucty_synt!A:S,19,0))</f>
        <v>-</v>
      </c>
      <c r="Y58" s="6">
        <f t="shared" si="11"/>
        <v>0</v>
      </c>
      <c r="Z58" s="650" t="str">
        <f>IF(data[[#This Row],[uc_synt]]="-","-",VLOOKUP(data[[#This Row],[uc_synt]],ucty_synt!A:T,20,0))</f>
        <v>-</v>
      </c>
      <c r="AA58" s="650" t="str">
        <f>IF(COUNTIF(proc_exc!A:A,data[[#This Row],[ucet]])&gt;1,"chyba v proc_exc!",IF(COUNTIF(proc_exc!A:A,data[[#This Row],[ucet]])=1,VLOOKUP(data[[#This Row],[ucet]],proc_exc!A:E,5,0),data[[#This Row],[proces default]]))</f>
        <v>-</v>
      </c>
    </row>
    <row r="59" spans="2:27" x14ac:dyDescent="0.3">
      <c r="B59" s="36"/>
      <c r="C59" s="32"/>
      <c r="J59" s="15" t="str">
        <f t="shared" si="9"/>
        <v xml:space="preserve"> </v>
      </c>
      <c r="K59" s="3" t="str">
        <f>IF(I59=0,"-",VALUE(LEFT(D59,LEN(D59)-(INDEX!$E$13-3))))</f>
        <v>-</v>
      </c>
      <c r="L59" s="5" t="str">
        <f>IF(I59=0,"-",VLOOKUP(K59,ucty_synt!A:B,2,0))</f>
        <v>-</v>
      </c>
      <c r="M59" s="15" t="str">
        <f>IF(S59="-","-",VLOOKUP(K59,ucty_synt!A:S,3,0))</f>
        <v>-</v>
      </c>
      <c r="N59" s="15" t="str">
        <f>IF(I59=0,"-",IF(M59="Rozvaha",VLOOKUP(S59,'radky_R'!A:O,6,0),IF(M59="Výsledovka",VLOOKUP(S59,'radky_V'!A:M,6,0),"-")))</f>
        <v>-</v>
      </c>
      <c r="O59" s="3" t="str">
        <f>IF(I59=0,"-",IF(COUNTIF(ucty_synt!A:A,K59)=0,"účet n/a",IF(VLOOKUP(K59,ucty_synt!A:S,4,0)=RIGHT($P$1,5),"podle AÚ",IF(VLOOKUP(K59,ucty_synt!A:S,4,0)=RIGHT($Q$1,5),"podle SÚ",IF(SUMIF(ucty_synt!A:A,K59,ucty_synt!E:E)&lt;&gt;0,VLOOKUP(K59,ucty_synt!A:T,5,0),"doplnit")))))</f>
        <v>-</v>
      </c>
      <c r="P59" s="3" t="str">
        <f>IF(I59=0,"-",IF(VLOOKUP(K59,ucty_synt!A:S,4,0)=RIGHT($P$1,5),IF(SUMIFS(I:I,C:C,C59,D:D,D59)&gt;=0,VLOOKUP(K59,ucty_synt!A:E,5,0),VLOOKUP(K59,ucty_synt!A:L,12,0)),"-"))</f>
        <v>-</v>
      </c>
      <c r="Q59" s="3" t="str">
        <f>IF(I59=0,"-",IF(VLOOKUP(K59,ucty_synt!A:S,4,0)=RIGHT($Q$1,5),IF(SUMIFS(I:I,C:C,C59,K:K,K59)&gt;=0,VLOOKUP(K59,ucty_synt!A:E,5,0),VLOOKUP(K59,ucty_synt!A:L,12,0)),"-"))</f>
        <v>-</v>
      </c>
      <c r="R59" s="459"/>
      <c r="S59" s="8" t="str">
        <f t="shared" si="10"/>
        <v>-</v>
      </c>
      <c r="T59" s="15" t="str">
        <f>IF(S59="-","-",IF(M59="Rozvaha",VLOOKUP(S59,'radky_R'!A:O,14,0),IF(M59="Výsledovka",VLOOKUP(S59,'radky_V'!A:M,12,0),"-")))</f>
        <v>-</v>
      </c>
      <c r="U59" s="20" t="str">
        <f>IF(I59=0,"-",IF(M59="Rozvaha",VLOOKUP(S59,'radky_R'!A:O,8,0),IF(M59="Výsledovka",VLOOKUP(S59,'radky_V'!A:M,8,0),"-")))</f>
        <v>-</v>
      </c>
      <c r="V59" s="20" t="str">
        <f>IF(I59=0,"-",IF(M59="Rozvaha",VLOOKUP(S59,'radky_R'!A:O,9,0),IF(M59="Výsledovka",VLOOKUP(S59,'radky_V'!A:M,9,0),"-")))</f>
        <v>-</v>
      </c>
      <c r="W59" s="104" t="str">
        <f>IF(I59=0,"-",IF(M59="Rozvaha",VLOOKUP(S59,'radky_R'!A:O,15,0),IF(M59="Výsledovka",VLOOKUP(S59,'radky_V'!A:M,11,0),"-")))</f>
        <v>-</v>
      </c>
      <c r="X59" s="5" t="str">
        <f>IF(I59=0,"-",VLOOKUP(K59,ucty_synt!A:S,19,0))</f>
        <v>-</v>
      </c>
      <c r="Y59" s="6">
        <f t="shared" si="11"/>
        <v>0</v>
      </c>
      <c r="Z59" s="650" t="str">
        <f>IF(data[[#This Row],[uc_synt]]="-","-",VLOOKUP(data[[#This Row],[uc_synt]],ucty_synt!A:T,20,0))</f>
        <v>-</v>
      </c>
      <c r="AA59" s="650" t="str">
        <f>IF(COUNTIF(proc_exc!A:A,data[[#This Row],[ucet]])&gt;1,"chyba v proc_exc!",IF(COUNTIF(proc_exc!A:A,data[[#This Row],[ucet]])=1,VLOOKUP(data[[#This Row],[ucet]],proc_exc!A:E,5,0),data[[#This Row],[proces default]]))</f>
        <v>-</v>
      </c>
    </row>
    <row r="60" spans="2:27" x14ac:dyDescent="0.3">
      <c r="B60" s="36"/>
      <c r="C60" s="32"/>
      <c r="J60" s="15" t="str">
        <f t="shared" si="9"/>
        <v xml:space="preserve"> </v>
      </c>
      <c r="K60" s="3" t="str">
        <f>IF(I60=0,"-",VALUE(LEFT(D60,LEN(D60)-(INDEX!$E$13-3))))</f>
        <v>-</v>
      </c>
      <c r="L60" s="5" t="str">
        <f>IF(I60=0,"-",VLOOKUP(K60,ucty_synt!A:B,2,0))</f>
        <v>-</v>
      </c>
      <c r="M60" s="15" t="str">
        <f>IF(S60="-","-",VLOOKUP(K60,ucty_synt!A:S,3,0))</f>
        <v>-</v>
      </c>
      <c r="N60" s="15" t="str">
        <f>IF(I60=0,"-",IF(M60="Rozvaha",VLOOKUP(S60,'radky_R'!A:O,6,0),IF(M60="Výsledovka",VLOOKUP(S60,'radky_V'!A:M,6,0),"-")))</f>
        <v>-</v>
      </c>
      <c r="O60" s="3" t="str">
        <f>IF(I60=0,"-",IF(COUNTIF(ucty_synt!A:A,K60)=0,"účet n/a",IF(VLOOKUP(K60,ucty_synt!A:S,4,0)=RIGHT($P$1,5),"podle AÚ",IF(VLOOKUP(K60,ucty_synt!A:S,4,0)=RIGHT($Q$1,5),"podle SÚ",IF(SUMIF(ucty_synt!A:A,K60,ucty_synt!E:E)&lt;&gt;0,VLOOKUP(K60,ucty_synt!A:T,5,0),"doplnit")))))</f>
        <v>-</v>
      </c>
      <c r="P60" s="3" t="str">
        <f>IF(I60=0,"-",IF(VLOOKUP(K60,ucty_synt!A:S,4,0)=RIGHT($P$1,5),IF(SUMIFS(I:I,C:C,C60,D:D,D60)&gt;=0,VLOOKUP(K60,ucty_synt!A:E,5,0),VLOOKUP(K60,ucty_synt!A:L,12,0)),"-"))</f>
        <v>-</v>
      </c>
      <c r="Q60" s="3" t="str">
        <f>IF(I60=0,"-",IF(VLOOKUP(K60,ucty_synt!A:S,4,0)=RIGHT($Q$1,5),IF(SUMIFS(I:I,C:C,C60,K:K,K60)&gt;=0,VLOOKUP(K60,ucty_synt!A:E,5,0),VLOOKUP(K60,ucty_synt!A:L,12,0)),"-"))</f>
        <v>-</v>
      </c>
      <c r="R60" s="459"/>
      <c r="S60" s="8" t="str">
        <f t="shared" si="10"/>
        <v>-</v>
      </c>
      <c r="T60" s="15" t="str">
        <f>IF(S60="-","-",IF(M60="Rozvaha",VLOOKUP(S60,'radky_R'!A:O,14,0),IF(M60="Výsledovka",VLOOKUP(S60,'radky_V'!A:M,12,0),"-")))</f>
        <v>-</v>
      </c>
      <c r="U60" s="20" t="str">
        <f>IF(I60=0,"-",IF(M60="Rozvaha",VLOOKUP(S60,'radky_R'!A:O,8,0),IF(M60="Výsledovka",VLOOKUP(S60,'radky_V'!A:M,8,0),"-")))</f>
        <v>-</v>
      </c>
      <c r="V60" s="20" t="str">
        <f>IF(I60=0,"-",IF(M60="Rozvaha",VLOOKUP(S60,'radky_R'!A:O,9,0),IF(M60="Výsledovka",VLOOKUP(S60,'radky_V'!A:M,9,0),"-")))</f>
        <v>-</v>
      </c>
      <c r="W60" s="104" t="str">
        <f>IF(I60=0,"-",IF(M60="Rozvaha",VLOOKUP(S60,'radky_R'!A:O,15,0),IF(M60="Výsledovka",VLOOKUP(S60,'radky_V'!A:M,11,0),"-")))</f>
        <v>-</v>
      </c>
      <c r="X60" s="5" t="str">
        <f>IF(I60=0,"-",VLOOKUP(K60,ucty_synt!A:S,19,0))</f>
        <v>-</v>
      </c>
      <c r="Y60" s="6">
        <f t="shared" si="11"/>
        <v>0</v>
      </c>
      <c r="Z60" s="650" t="str">
        <f>IF(data[[#This Row],[uc_synt]]="-","-",VLOOKUP(data[[#This Row],[uc_synt]],ucty_synt!A:T,20,0))</f>
        <v>-</v>
      </c>
      <c r="AA60" s="650" t="str">
        <f>IF(COUNTIF(proc_exc!A:A,data[[#This Row],[ucet]])&gt;1,"chyba v proc_exc!",IF(COUNTIF(proc_exc!A:A,data[[#This Row],[ucet]])=1,VLOOKUP(data[[#This Row],[ucet]],proc_exc!A:E,5,0),data[[#This Row],[proces default]]))</f>
        <v>-</v>
      </c>
    </row>
    <row r="61" spans="2:27" x14ac:dyDescent="0.3">
      <c r="B61" s="36"/>
      <c r="C61" s="32"/>
      <c r="J61" s="15" t="str">
        <f t="shared" si="9"/>
        <v xml:space="preserve"> </v>
      </c>
      <c r="K61" s="3" t="str">
        <f>IF(I61=0,"-",VALUE(LEFT(D61,LEN(D61)-(INDEX!$E$13-3))))</f>
        <v>-</v>
      </c>
      <c r="L61" s="5" t="str">
        <f>IF(I61=0,"-",VLOOKUP(K61,ucty_synt!A:B,2,0))</f>
        <v>-</v>
      </c>
      <c r="M61" s="15" t="str">
        <f>IF(S61="-","-",VLOOKUP(K61,ucty_synt!A:S,3,0))</f>
        <v>-</v>
      </c>
      <c r="N61" s="15" t="str">
        <f>IF(I61=0,"-",IF(M61="Rozvaha",VLOOKUP(S61,'radky_R'!A:O,6,0),IF(M61="Výsledovka",VLOOKUP(S61,'radky_V'!A:M,6,0),"-")))</f>
        <v>-</v>
      </c>
      <c r="O61" s="3" t="str">
        <f>IF(I61=0,"-",IF(COUNTIF(ucty_synt!A:A,K61)=0,"účet n/a",IF(VLOOKUP(K61,ucty_synt!A:S,4,0)=RIGHT($P$1,5),"podle AÚ",IF(VLOOKUP(K61,ucty_synt!A:S,4,0)=RIGHT($Q$1,5),"podle SÚ",IF(SUMIF(ucty_synt!A:A,K61,ucty_synt!E:E)&lt;&gt;0,VLOOKUP(K61,ucty_synt!A:T,5,0),"doplnit")))))</f>
        <v>-</v>
      </c>
      <c r="P61" s="3" t="str">
        <f>IF(I61=0,"-",IF(VLOOKUP(K61,ucty_synt!A:S,4,0)=RIGHT($P$1,5),IF(SUMIFS(I:I,C:C,C61,D:D,D61)&gt;=0,VLOOKUP(K61,ucty_synt!A:E,5,0),VLOOKUP(K61,ucty_synt!A:L,12,0)),"-"))</f>
        <v>-</v>
      </c>
      <c r="Q61" s="3" t="str">
        <f>IF(I61=0,"-",IF(VLOOKUP(K61,ucty_synt!A:S,4,0)=RIGHT($Q$1,5),IF(SUMIFS(I:I,C:C,C61,K:K,K61)&gt;=0,VLOOKUP(K61,ucty_synt!A:E,5,0),VLOOKUP(K61,ucty_synt!A:L,12,0)),"-"))</f>
        <v>-</v>
      </c>
      <c r="R61" s="459"/>
      <c r="S61" s="8" t="str">
        <f t="shared" si="10"/>
        <v>-</v>
      </c>
      <c r="T61" s="15" t="str">
        <f>IF(S61="-","-",IF(M61="Rozvaha",VLOOKUP(S61,'radky_R'!A:O,14,0),IF(M61="Výsledovka",VLOOKUP(S61,'radky_V'!A:M,12,0),"-")))</f>
        <v>-</v>
      </c>
      <c r="U61" s="20" t="str">
        <f>IF(I61=0,"-",IF(M61="Rozvaha",VLOOKUP(S61,'radky_R'!A:O,8,0),IF(M61="Výsledovka",VLOOKUP(S61,'radky_V'!A:M,8,0),"-")))</f>
        <v>-</v>
      </c>
      <c r="V61" s="20" t="str">
        <f>IF(I61=0,"-",IF(M61="Rozvaha",VLOOKUP(S61,'radky_R'!A:O,9,0),IF(M61="Výsledovka",VLOOKUP(S61,'radky_V'!A:M,9,0),"-")))</f>
        <v>-</v>
      </c>
      <c r="W61" s="104" t="str">
        <f>IF(I61=0,"-",IF(M61="Rozvaha",VLOOKUP(S61,'radky_R'!A:O,15,0),IF(M61="Výsledovka",VLOOKUP(S61,'radky_V'!A:M,11,0),"-")))</f>
        <v>-</v>
      </c>
      <c r="X61" s="5" t="str">
        <f>IF(I61=0,"-",VLOOKUP(K61,ucty_synt!A:S,19,0))</f>
        <v>-</v>
      </c>
      <c r="Y61" s="6">
        <f t="shared" si="11"/>
        <v>0</v>
      </c>
      <c r="Z61" s="650" t="str">
        <f>IF(data[[#This Row],[uc_synt]]="-","-",VLOOKUP(data[[#This Row],[uc_synt]],ucty_synt!A:T,20,0))</f>
        <v>-</v>
      </c>
      <c r="AA61" s="650" t="str">
        <f>IF(COUNTIF(proc_exc!A:A,data[[#This Row],[ucet]])&gt;1,"chyba v proc_exc!",IF(COUNTIF(proc_exc!A:A,data[[#This Row],[ucet]])=1,VLOOKUP(data[[#This Row],[ucet]],proc_exc!A:E,5,0),data[[#This Row],[proces default]]))</f>
        <v>-</v>
      </c>
    </row>
    <row r="62" spans="2:27" x14ac:dyDescent="0.3">
      <c r="B62" s="36"/>
      <c r="C62" s="32"/>
      <c r="J62" s="15" t="str">
        <f t="shared" si="9"/>
        <v xml:space="preserve"> </v>
      </c>
      <c r="K62" s="3" t="str">
        <f>IF(I62=0,"-",VALUE(LEFT(D62,LEN(D62)-(INDEX!$E$13-3))))</f>
        <v>-</v>
      </c>
      <c r="L62" s="5" t="str">
        <f>IF(I62=0,"-",VLOOKUP(K62,ucty_synt!A:B,2,0))</f>
        <v>-</v>
      </c>
      <c r="M62" s="15" t="str">
        <f>IF(S62="-","-",VLOOKUP(K62,ucty_synt!A:S,3,0))</f>
        <v>-</v>
      </c>
      <c r="N62" s="15" t="str">
        <f>IF(I62=0,"-",IF(M62="Rozvaha",VLOOKUP(S62,'radky_R'!A:O,6,0),IF(M62="Výsledovka",VLOOKUP(S62,'radky_V'!A:M,6,0),"-")))</f>
        <v>-</v>
      </c>
      <c r="O62" s="3" t="str">
        <f>IF(I62=0,"-",IF(COUNTIF(ucty_synt!A:A,K62)=0,"účet n/a",IF(VLOOKUP(K62,ucty_synt!A:S,4,0)=RIGHT($P$1,5),"podle AÚ",IF(VLOOKUP(K62,ucty_synt!A:S,4,0)=RIGHT($Q$1,5),"podle SÚ",IF(SUMIF(ucty_synt!A:A,K62,ucty_synt!E:E)&lt;&gt;0,VLOOKUP(K62,ucty_synt!A:T,5,0),"doplnit")))))</f>
        <v>-</v>
      </c>
      <c r="P62" s="3" t="str">
        <f>IF(I62=0,"-",IF(VLOOKUP(K62,ucty_synt!A:S,4,0)=RIGHT($P$1,5),IF(SUMIFS(I:I,C:C,C62,D:D,D62)&gt;=0,VLOOKUP(K62,ucty_synt!A:E,5,0),VLOOKUP(K62,ucty_synt!A:L,12,0)),"-"))</f>
        <v>-</v>
      </c>
      <c r="Q62" s="3" t="str">
        <f>IF(I62=0,"-",IF(VLOOKUP(K62,ucty_synt!A:S,4,0)=RIGHT($Q$1,5),IF(SUMIFS(I:I,C:C,C62,K:K,K62)&gt;=0,VLOOKUP(K62,ucty_synt!A:E,5,0),VLOOKUP(K62,ucty_synt!A:L,12,0)),"-"))</f>
        <v>-</v>
      </c>
      <c r="R62" s="459"/>
      <c r="S62" s="8" t="str">
        <f t="shared" si="10"/>
        <v>-</v>
      </c>
      <c r="T62" s="15" t="str">
        <f>IF(S62="-","-",IF(M62="Rozvaha",VLOOKUP(S62,'radky_R'!A:O,14,0),IF(M62="Výsledovka",VLOOKUP(S62,'radky_V'!A:M,12,0),"-")))</f>
        <v>-</v>
      </c>
      <c r="U62" s="20" t="str">
        <f>IF(I62=0,"-",IF(M62="Rozvaha",VLOOKUP(S62,'radky_R'!A:O,8,0),IF(M62="Výsledovka",VLOOKUP(S62,'radky_V'!A:M,8,0),"-")))</f>
        <v>-</v>
      </c>
      <c r="V62" s="20" t="str">
        <f>IF(I62=0,"-",IF(M62="Rozvaha",VLOOKUP(S62,'radky_R'!A:O,9,0),IF(M62="Výsledovka",VLOOKUP(S62,'radky_V'!A:M,9,0),"-")))</f>
        <v>-</v>
      </c>
      <c r="W62" s="104" t="str">
        <f>IF(I62=0,"-",IF(M62="Rozvaha",VLOOKUP(S62,'radky_R'!A:O,15,0),IF(M62="Výsledovka",VLOOKUP(S62,'radky_V'!A:M,11,0),"-")))</f>
        <v>-</v>
      </c>
      <c r="X62" s="5" t="str">
        <f>IF(I62=0,"-",VLOOKUP(K62,ucty_synt!A:S,19,0))</f>
        <v>-</v>
      </c>
      <c r="Y62" s="6">
        <f t="shared" si="11"/>
        <v>0</v>
      </c>
      <c r="Z62" s="650" t="str">
        <f>IF(data[[#This Row],[uc_synt]]="-","-",VLOOKUP(data[[#This Row],[uc_synt]],ucty_synt!A:T,20,0))</f>
        <v>-</v>
      </c>
      <c r="AA62" s="650" t="str">
        <f>IF(COUNTIF(proc_exc!A:A,data[[#This Row],[ucet]])&gt;1,"chyba v proc_exc!",IF(COUNTIF(proc_exc!A:A,data[[#This Row],[ucet]])=1,VLOOKUP(data[[#This Row],[ucet]],proc_exc!A:E,5,0),data[[#This Row],[proces default]]))</f>
        <v>-</v>
      </c>
    </row>
    <row r="63" spans="2:27" x14ac:dyDescent="0.3">
      <c r="B63" s="36"/>
      <c r="C63" s="32"/>
      <c r="J63" s="15" t="str">
        <f t="shared" si="9"/>
        <v xml:space="preserve"> </v>
      </c>
      <c r="K63" s="3" t="str">
        <f>IF(I63=0,"-",VALUE(LEFT(D63,LEN(D63)-(INDEX!$E$13-3))))</f>
        <v>-</v>
      </c>
      <c r="L63" s="5" t="str">
        <f>IF(I63=0,"-",VLOOKUP(K63,ucty_synt!A:B,2,0))</f>
        <v>-</v>
      </c>
      <c r="M63" s="15" t="str">
        <f>IF(S63="-","-",VLOOKUP(K63,ucty_synt!A:S,3,0))</f>
        <v>-</v>
      </c>
      <c r="N63" s="15" t="str">
        <f>IF(I63=0,"-",IF(M63="Rozvaha",VLOOKUP(S63,'radky_R'!A:O,6,0),IF(M63="Výsledovka",VLOOKUP(S63,'radky_V'!A:M,6,0),"-")))</f>
        <v>-</v>
      </c>
      <c r="O63" s="3" t="str">
        <f>IF(I63=0,"-",IF(COUNTIF(ucty_synt!A:A,K63)=0,"účet n/a",IF(VLOOKUP(K63,ucty_synt!A:S,4,0)=RIGHT($P$1,5),"podle AÚ",IF(VLOOKUP(K63,ucty_synt!A:S,4,0)=RIGHT($Q$1,5),"podle SÚ",IF(SUMIF(ucty_synt!A:A,K63,ucty_synt!E:E)&lt;&gt;0,VLOOKUP(K63,ucty_synt!A:T,5,0),"doplnit")))))</f>
        <v>-</v>
      </c>
      <c r="P63" s="3" t="str">
        <f>IF(I63=0,"-",IF(VLOOKUP(K63,ucty_synt!A:S,4,0)=RIGHT($P$1,5),IF(SUMIFS(I:I,C:C,C63,D:D,D63)&gt;=0,VLOOKUP(K63,ucty_synt!A:E,5,0),VLOOKUP(K63,ucty_synt!A:L,12,0)),"-"))</f>
        <v>-</v>
      </c>
      <c r="Q63" s="3" t="str">
        <f>IF(I63=0,"-",IF(VLOOKUP(K63,ucty_synt!A:S,4,0)=RIGHT($Q$1,5),IF(SUMIFS(I:I,C:C,C63,K:K,K63)&gt;=0,VLOOKUP(K63,ucty_synt!A:E,5,0),VLOOKUP(K63,ucty_synt!A:L,12,0)),"-"))</f>
        <v>-</v>
      </c>
      <c r="R63" s="459"/>
      <c r="S63" s="8" t="str">
        <f t="shared" si="10"/>
        <v>-</v>
      </c>
      <c r="T63" s="15" t="str">
        <f>IF(S63="-","-",IF(M63="Rozvaha",VLOOKUP(S63,'radky_R'!A:O,14,0),IF(M63="Výsledovka",VLOOKUP(S63,'radky_V'!A:M,12,0),"-")))</f>
        <v>-</v>
      </c>
      <c r="U63" s="20" t="str">
        <f>IF(I63=0,"-",IF(M63="Rozvaha",VLOOKUP(S63,'radky_R'!A:O,8,0),IF(M63="Výsledovka",VLOOKUP(S63,'radky_V'!A:M,8,0),"-")))</f>
        <v>-</v>
      </c>
      <c r="V63" s="20" t="str">
        <f>IF(I63=0,"-",IF(M63="Rozvaha",VLOOKUP(S63,'radky_R'!A:O,9,0),IF(M63="Výsledovka",VLOOKUP(S63,'radky_V'!A:M,9,0),"-")))</f>
        <v>-</v>
      </c>
      <c r="W63" s="104" t="str">
        <f>IF(I63=0,"-",IF(M63="Rozvaha",VLOOKUP(S63,'radky_R'!A:O,15,0),IF(M63="Výsledovka",VLOOKUP(S63,'radky_V'!A:M,11,0),"-")))</f>
        <v>-</v>
      </c>
      <c r="X63" s="5" t="str">
        <f>IF(I63=0,"-",VLOOKUP(K63,ucty_synt!A:S,19,0))</f>
        <v>-</v>
      </c>
      <c r="Y63" s="6">
        <f t="shared" si="11"/>
        <v>0</v>
      </c>
      <c r="Z63" s="650" t="str">
        <f>IF(data[[#This Row],[uc_synt]]="-","-",VLOOKUP(data[[#This Row],[uc_synt]],ucty_synt!A:T,20,0))</f>
        <v>-</v>
      </c>
      <c r="AA63" s="650" t="str">
        <f>IF(COUNTIF(proc_exc!A:A,data[[#This Row],[ucet]])&gt;1,"chyba v proc_exc!",IF(COUNTIF(proc_exc!A:A,data[[#This Row],[ucet]])=1,VLOOKUP(data[[#This Row],[ucet]],proc_exc!A:E,5,0),data[[#This Row],[proces default]]))</f>
        <v>-</v>
      </c>
    </row>
    <row r="64" spans="2:27" x14ac:dyDescent="0.3">
      <c r="B64" s="36"/>
      <c r="C64" s="32"/>
      <c r="J64" s="15" t="str">
        <f t="shared" si="9"/>
        <v xml:space="preserve"> </v>
      </c>
      <c r="K64" s="3" t="str">
        <f>IF(I64=0,"-",VALUE(LEFT(D64,LEN(D64)-(INDEX!$E$13-3))))</f>
        <v>-</v>
      </c>
      <c r="L64" s="5" t="str">
        <f>IF(I64=0,"-",VLOOKUP(K64,ucty_synt!A:B,2,0))</f>
        <v>-</v>
      </c>
      <c r="M64" s="15" t="str">
        <f>IF(S64="-","-",VLOOKUP(K64,ucty_synt!A:S,3,0))</f>
        <v>-</v>
      </c>
      <c r="N64" s="15" t="str">
        <f>IF(I64=0,"-",IF(M64="Rozvaha",VLOOKUP(S64,'radky_R'!A:O,6,0),IF(M64="Výsledovka",VLOOKUP(S64,'radky_V'!A:M,6,0),"-")))</f>
        <v>-</v>
      </c>
      <c r="O64" s="3" t="str">
        <f>IF(I64=0,"-",IF(COUNTIF(ucty_synt!A:A,K64)=0,"účet n/a",IF(VLOOKUP(K64,ucty_synt!A:S,4,0)=RIGHT($P$1,5),"podle AÚ",IF(VLOOKUP(K64,ucty_synt!A:S,4,0)=RIGHT($Q$1,5),"podle SÚ",IF(SUMIF(ucty_synt!A:A,K64,ucty_synt!E:E)&lt;&gt;0,VLOOKUP(K64,ucty_synt!A:T,5,0),"doplnit")))))</f>
        <v>-</v>
      </c>
      <c r="P64" s="3" t="str">
        <f>IF(I64=0,"-",IF(VLOOKUP(K64,ucty_synt!A:S,4,0)=RIGHT($P$1,5),IF(SUMIFS(I:I,C:C,C64,D:D,D64)&gt;=0,VLOOKUP(K64,ucty_synt!A:E,5,0),VLOOKUP(K64,ucty_synt!A:L,12,0)),"-"))</f>
        <v>-</v>
      </c>
      <c r="Q64" s="3" t="str">
        <f>IF(I64=0,"-",IF(VLOOKUP(K64,ucty_synt!A:S,4,0)=RIGHT($Q$1,5),IF(SUMIFS(I:I,C:C,C64,K:K,K64)&gt;=0,VLOOKUP(K64,ucty_synt!A:E,5,0),VLOOKUP(K64,ucty_synt!A:L,12,0)),"-"))</f>
        <v>-</v>
      </c>
      <c r="R64" s="459"/>
      <c r="S64" s="8" t="str">
        <f t="shared" si="10"/>
        <v>-</v>
      </c>
      <c r="T64" s="15" t="str">
        <f>IF(S64="-","-",IF(M64="Rozvaha",VLOOKUP(S64,'radky_R'!A:O,14,0),IF(M64="Výsledovka",VLOOKUP(S64,'radky_V'!A:M,12,0),"-")))</f>
        <v>-</v>
      </c>
      <c r="U64" s="20" t="str">
        <f>IF(I64=0,"-",IF(M64="Rozvaha",VLOOKUP(S64,'radky_R'!A:O,8,0),IF(M64="Výsledovka",VLOOKUP(S64,'radky_V'!A:M,8,0),"-")))</f>
        <v>-</v>
      </c>
      <c r="V64" s="20" t="str">
        <f>IF(I64=0,"-",IF(M64="Rozvaha",VLOOKUP(S64,'radky_R'!A:O,9,0),IF(M64="Výsledovka",VLOOKUP(S64,'radky_V'!A:M,9,0),"-")))</f>
        <v>-</v>
      </c>
      <c r="W64" s="104" t="str">
        <f>IF(I64=0,"-",IF(M64="Rozvaha",VLOOKUP(S64,'radky_R'!A:O,15,0),IF(M64="Výsledovka",VLOOKUP(S64,'radky_V'!A:M,11,0),"-")))</f>
        <v>-</v>
      </c>
      <c r="X64" s="5" t="str">
        <f>IF(I64=0,"-",VLOOKUP(K64,ucty_synt!A:S,19,0))</f>
        <v>-</v>
      </c>
      <c r="Y64" s="6">
        <f t="shared" si="11"/>
        <v>0</v>
      </c>
      <c r="Z64" s="650" t="str">
        <f>IF(data[[#This Row],[uc_synt]]="-","-",VLOOKUP(data[[#This Row],[uc_synt]],ucty_synt!A:T,20,0))</f>
        <v>-</v>
      </c>
      <c r="AA64" s="650" t="str">
        <f>IF(COUNTIF(proc_exc!A:A,data[[#This Row],[ucet]])&gt;1,"chyba v proc_exc!",IF(COUNTIF(proc_exc!A:A,data[[#This Row],[ucet]])=1,VLOOKUP(data[[#This Row],[ucet]],proc_exc!A:E,5,0),data[[#This Row],[proces default]]))</f>
        <v>-</v>
      </c>
    </row>
    <row r="65" spans="2:27" x14ac:dyDescent="0.3">
      <c r="B65" s="36"/>
      <c r="C65" s="32"/>
      <c r="J65" s="15" t="str">
        <f t="shared" si="9"/>
        <v xml:space="preserve"> </v>
      </c>
      <c r="K65" s="3" t="str">
        <f>IF(I65=0,"-",VALUE(LEFT(D65,LEN(D65)-(INDEX!$E$13-3))))</f>
        <v>-</v>
      </c>
      <c r="L65" s="5" t="str">
        <f>IF(I65=0,"-",VLOOKUP(K65,ucty_synt!A:B,2,0))</f>
        <v>-</v>
      </c>
      <c r="M65" s="15" t="str">
        <f>IF(S65="-","-",VLOOKUP(K65,ucty_synt!A:S,3,0))</f>
        <v>-</v>
      </c>
      <c r="N65" s="15" t="str">
        <f>IF(I65=0,"-",IF(M65="Rozvaha",VLOOKUP(S65,'radky_R'!A:O,6,0),IF(M65="Výsledovka",VLOOKUP(S65,'radky_V'!A:M,6,0),"-")))</f>
        <v>-</v>
      </c>
      <c r="O65" s="3" t="str">
        <f>IF(I65=0,"-",IF(COUNTIF(ucty_synt!A:A,K65)=0,"účet n/a",IF(VLOOKUP(K65,ucty_synt!A:S,4,0)=RIGHT($P$1,5),"podle AÚ",IF(VLOOKUP(K65,ucty_synt!A:S,4,0)=RIGHT($Q$1,5),"podle SÚ",IF(SUMIF(ucty_synt!A:A,K65,ucty_synt!E:E)&lt;&gt;0,VLOOKUP(K65,ucty_synt!A:T,5,0),"doplnit")))))</f>
        <v>-</v>
      </c>
      <c r="P65" s="3" t="str">
        <f>IF(I65=0,"-",IF(VLOOKUP(K65,ucty_synt!A:S,4,0)=RIGHT($P$1,5),IF(SUMIFS(I:I,C:C,C65,D:D,D65)&gt;=0,VLOOKUP(K65,ucty_synt!A:E,5,0),VLOOKUP(K65,ucty_synt!A:L,12,0)),"-"))</f>
        <v>-</v>
      </c>
      <c r="Q65" s="3" t="str">
        <f>IF(I65=0,"-",IF(VLOOKUP(K65,ucty_synt!A:S,4,0)=RIGHT($Q$1,5),IF(SUMIFS(I:I,C:C,C65,K:K,K65)&gt;=0,VLOOKUP(K65,ucty_synt!A:E,5,0),VLOOKUP(K65,ucty_synt!A:L,12,0)),"-"))</f>
        <v>-</v>
      </c>
      <c r="R65" s="459"/>
      <c r="S65" s="8" t="str">
        <f t="shared" si="10"/>
        <v>-</v>
      </c>
      <c r="T65" s="15" t="str">
        <f>IF(S65="-","-",IF(M65="Rozvaha",VLOOKUP(S65,'radky_R'!A:O,14,0),IF(M65="Výsledovka",VLOOKUP(S65,'radky_V'!A:M,12,0),"-")))</f>
        <v>-</v>
      </c>
      <c r="U65" s="20" t="str">
        <f>IF(I65=0,"-",IF(M65="Rozvaha",VLOOKUP(S65,'radky_R'!A:O,8,0),IF(M65="Výsledovka",VLOOKUP(S65,'radky_V'!A:M,8,0),"-")))</f>
        <v>-</v>
      </c>
      <c r="V65" s="20" t="str">
        <f>IF(I65=0,"-",IF(M65="Rozvaha",VLOOKUP(S65,'radky_R'!A:O,9,0),IF(M65="Výsledovka",VLOOKUP(S65,'radky_V'!A:M,9,0),"-")))</f>
        <v>-</v>
      </c>
      <c r="W65" s="104" t="str">
        <f>IF(I65=0,"-",IF(M65="Rozvaha",VLOOKUP(S65,'radky_R'!A:O,15,0),IF(M65="Výsledovka",VLOOKUP(S65,'radky_V'!A:M,11,0),"-")))</f>
        <v>-</v>
      </c>
      <c r="X65" s="5" t="str">
        <f>IF(I65=0,"-",VLOOKUP(K65,ucty_synt!A:S,19,0))</f>
        <v>-</v>
      </c>
      <c r="Y65" s="6">
        <f t="shared" si="11"/>
        <v>0</v>
      </c>
      <c r="Z65" s="650" t="str">
        <f>IF(data[[#This Row],[uc_synt]]="-","-",VLOOKUP(data[[#This Row],[uc_synt]],ucty_synt!A:T,20,0))</f>
        <v>-</v>
      </c>
      <c r="AA65" s="650" t="str">
        <f>IF(COUNTIF(proc_exc!A:A,data[[#This Row],[ucet]])&gt;1,"chyba v proc_exc!",IF(COUNTIF(proc_exc!A:A,data[[#This Row],[ucet]])=1,VLOOKUP(data[[#This Row],[ucet]],proc_exc!A:E,5,0),data[[#This Row],[proces default]]))</f>
        <v>-</v>
      </c>
    </row>
    <row r="66" spans="2:27" x14ac:dyDescent="0.3">
      <c r="B66" s="36"/>
      <c r="C66" s="32"/>
      <c r="J66" s="15" t="str">
        <f t="shared" si="9"/>
        <v xml:space="preserve"> </v>
      </c>
      <c r="K66" s="3" t="str">
        <f>IF(I66=0,"-",VALUE(LEFT(D66,LEN(D66)-(INDEX!$E$13-3))))</f>
        <v>-</v>
      </c>
      <c r="L66" s="5" t="str">
        <f>IF(I66=0,"-",VLOOKUP(K66,ucty_synt!A:B,2,0))</f>
        <v>-</v>
      </c>
      <c r="M66" s="15" t="str">
        <f>IF(S66="-","-",VLOOKUP(K66,ucty_synt!A:S,3,0))</f>
        <v>-</v>
      </c>
      <c r="N66" s="15" t="str">
        <f>IF(I66=0,"-",IF(M66="Rozvaha",VLOOKUP(S66,'radky_R'!A:O,6,0),IF(M66="Výsledovka",VLOOKUP(S66,'radky_V'!A:M,6,0),"-")))</f>
        <v>-</v>
      </c>
      <c r="O66" s="3" t="str">
        <f>IF(I66=0,"-",IF(COUNTIF(ucty_synt!A:A,K66)=0,"účet n/a",IF(VLOOKUP(K66,ucty_synt!A:S,4,0)=RIGHT($P$1,5),"podle AÚ",IF(VLOOKUP(K66,ucty_synt!A:S,4,0)=RIGHT($Q$1,5),"podle SÚ",IF(SUMIF(ucty_synt!A:A,K66,ucty_synt!E:E)&lt;&gt;0,VLOOKUP(K66,ucty_synt!A:T,5,0),"doplnit")))))</f>
        <v>-</v>
      </c>
      <c r="P66" s="3" t="str">
        <f>IF(I66=0,"-",IF(VLOOKUP(K66,ucty_synt!A:S,4,0)=RIGHT($P$1,5),IF(SUMIFS(I:I,C:C,C66,D:D,D66)&gt;=0,VLOOKUP(K66,ucty_synt!A:E,5,0),VLOOKUP(K66,ucty_synt!A:L,12,0)),"-"))</f>
        <v>-</v>
      </c>
      <c r="Q66" s="3" t="str">
        <f>IF(I66=0,"-",IF(VLOOKUP(K66,ucty_synt!A:S,4,0)=RIGHT($Q$1,5),IF(SUMIFS(I:I,C:C,C66,K:K,K66)&gt;=0,VLOOKUP(K66,ucty_synt!A:E,5,0),VLOOKUP(K66,ucty_synt!A:L,12,0)),"-"))</f>
        <v>-</v>
      </c>
      <c r="R66" s="459"/>
      <c r="S66" s="8" t="str">
        <f t="shared" si="10"/>
        <v>-</v>
      </c>
      <c r="T66" s="15" t="str">
        <f>IF(S66="-","-",IF(M66="Rozvaha",VLOOKUP(S66,'radky_R'!A:O,14,0),IF(M66="Výsledovka",VLOOKUP(S66,'radky_V'!A:M,12,0),"-")))</f>
        <v>-</v>
      </c>
      <c r="U66" s="20" t="str">
        <f>IF(I66=0,"-",IF(M66="Rozvaha",VLOOKUP(S66,'radky_R'!A:O,8,0),IF(M66="Výsledovka",VLOOKUP(S66,'radky_V'!A:M,8,0),"-")))</f>
        <v>-</v>
      </c>
      <c r="V66" s="20" t="str">
        <f>IF(I66=0,"-",IF(M66="Rozvaha",VLOOKUP(S66,'radky_R'!A:O,9,0),IF(M66="Výsledovka",VLOOKUP(S66,'radky_V'!A:M,9,0),"-")))</f>
        <v>-</v>
      </c>
      <c r="W66" s="104" t="str">
        <f>IF(I66=0,"-",IF(M66="Rozvaha",VLOOKUP(S66,'radky_R'!A:O,15,0),IF(M66="Výsledovka",VLOOKUP(S66,'radky_V'!A:M,11,0),"-")))</f>
        <v>-</v>
      </c>
      <c r="X66" s="5" t="str">
        <f>IF(I66=0,"-",VLOOKUP(K66,ucty_synt!A:S,19,0))</f>
        <v>-</v>
      </c>
      <c r="Y66" s="6">
        <f t="shared" si="11"/>
        <v>0</v>
      </c>
      <c r="Z66" s="650" t="str">
        <f>IF(data[[#This Row],[uc_synt]]="-","-",VLOOKUP(data[[#This Row],[uc_synt]],ucty_synt!A:T,20,0))</f>
        <v>-</v>
      </c>
      <c r="AA66" s="650" t="str">
        <f>IF(COUNTIF(proc_exc!A:A,data[[#This Row],[ucet]])&gt;1,"chyba v proc_exc!",IF(COUNTIF(proc_exc!A:A,data[[#This Row],[ucet]])=1,VLOOKUP(data[[#This Row],[ucet]],proc_exc!A:E,5,0),data[[#This Row],[proces default]]))</f>
        <v>-</v>
      </c>
    </row>
    <row r="67" spans="2:27" x14ac:dyDescent="0.3">
      <c r="B67" s="36"/>
      <c r="C67" s="32"/>
      <c r="J67" s="15" t="str">
        <f t="shared" si="9"/>
        <v xml:space="preserve"> </v>
      </c>
      <c r="K67" s="3" t="str">
        <f>IF(I67=0,"-",VALUE(LEFT(D67,LEN(D67)-(INDEX!$E$13-3))))</f>
        <v>-</v>
      </c>
      <c r="L67" s="5" t="str">
        <f>IF(I67=0,"-",VLOOKUP(K67,ucty_synt!A:B,2,0))</f>
        <v>-</v>
      </c>
      <c r="M67" s="15" t="str">
        <f>IF(S67="-","-",VLOOKUP(K67,ucty_synt!A:S,3,0))</f>
        <v>-</v>
      </c>
      <c r="N67" s="15" t="str">
        <f>IF(I67=0,"-",IF(M67="Rozvaha",VLOOKUP(S67,'radky_R'!A:O,6,0),IF(M67="Výsledovka",VLOOKUP(S67,'radky_V'!A:M,6,0),"-")))</f>
        <v>-</v>
      </c>
      <c r="O67" s="3" t="str">
        <f>IF(I67=0,"-",IF(COUNTIF(ucty_synt!A:A,K67)=0,"účet n/a",IF(VLOOKUP(K67,ucty_synt!A:S,4,0)=RIGHT($P$1,5),"podle AÚ",IF(VLOOKUP(K67,ucty_synt!A:S,4,0)=RIGHT($Q$1,5),"podle SÚ",IF(SUMIF(ucty_synt!A:A,K67,ucty_synt!E:E)&lt;&gt;0,VLOOKUP(K67,ucty_synt!A:T,5,0),"doplnit")))))</f>
        <v>-</v>
      </c>
      <c r="P67" s="3" t="str">
        <f>IF(I67=0,"-",IF(VLOOKUP(K67,ucty_synt!A:S,4,0)=RIGHT($P$1,5),IF(SUMIFS(I:I,C:C,C67,D:D,D67)&gt;=0,VLOOKUP(K67,ucty_synt!A:E,5,0),VLOOKUP(K67,ucty_synt!A:L,12,0)),"-"))</f>
        <v>-</v>
      </c>
      <c r="Q67" s="3" t="str">
        <f>IF(I67=0,"-",IF(VLOOKUP(K67,ucty_synt!A:S,4,0)=RIGHT($Q$1,5),IF(SUMIFS(I:I,C:C,C67,K:K,K67)&gt;=0,VLOOKUP(K67,ucty_synt!A:E,5,0),VLOOKUP(K67,ucty_synt!A:L,12,0)),"-"))</f>
        <v>-</v>
      </c>
      <c r="R67" s="459"/>
      <c r="S67" s="8" t="str">
        <f t="shared" si="10"/>
        <v>-</v>
      </c>
      <c r="T67" s="15" t="str">
        <f>IF(S67="-","-",IF(M67="Rozvaha",VLOOKUP(S67,'radky_R'!A:O,14,0),IF(M67="Výsledovka",VLOOKUP(S67,'radky_V'!A:M,12,0),"-")))</f>
        <v>-</v>
      </c>
      <c r="U67" s="20" t="str">
        <f>IF(I67=0,"-",IF(M67="Rozvaha",VLOOKUP(S67,'radky_R'!A:O,8,0),IF(M67="Výsledovka",VLOOKUP(S67,'radky_V'!A:M,8,0),"-")))</f>
        <v>-</v>
      </c>
      <c r="V67" s="20" t="str">
        <f>IF(I67=0,"-",IF(M67="Rozvaha",VLOOKUP(S67,'radky_R'!A:O,9,0),IF(M67="Výsledovka",VLOOKUP(S67,'radky_V'!A:M,9,0),"-")))</f>
        <v>-</v>
      </c>
      <c r="W67" s="104" t="str">
        <f>IF(I67=0,"-",IF(M67="Rozvaha",VLOOKUP(S67,'radky_R'!A:O,15,0),IF(M67="Výsledovka",VLOOKUP(S67,'radky_V'!A:M,11,0),"-")))</f>
        <v>-</v>
      </c>
      <c r="X67" s="5" t="str">
        <f>IF(I67=0,"-",VLOOKUP(K67,ucty_synt!A:S,19,0))</f>
        <v>-</v>
      </c>
      <c r="Y67" s="6">
        <f t="shared" si="11"/>
        <v>0</v>
      </c>
      <c r="Z67" s="650" t="str">
        <f>IF(data[[#This Row],[uc_synt]]="-","-",VLOOKUP(data[[#This Row],[uc_synt]],ucty_synt!A:T,20,0))</f>
        <v>-</v>
      </c>
      <c r="AA67" s="650" t="str">
        <f>IF(COUNTIF(proc_exc!A:A,data[[#This Row],[ucet]])&gt;1,"chyba v proc_exc!",IF(COUNTIF(proc_exc!A:A,data[[#This Row],[ucet]])=1,VLOOKUP(data[[#This Row],[ucet]],proc_exc!A:E,5,0),data[[#This Row],[proces default]]))</f>
        <v>-</v>
      </c>
    </row>
    <row r="68" spans="2:27" x14ac:dyDescent="0.3">
      <c r="B68" s="36"/>
      <c r="C68" s="32"/>
      <c r="J68" s="15" t="str">
        <f t="shared" ref="J68:J99" si="12">CONCATENATE(D68," ",E68)</f>
        <v xml:space="preserve"> </v>
      </c>
      <c r="K68" s="3" t="str">
        <f>IF(I68=0,"-",VALUE(LEFT(D68,LEN(D68)-(INDEX!$E$13-3))))</f>
        <v>-</v>
      </c>
      <c r="L68" s="5" t="str">
        <f>IF(I68=0,"-",VLOOKUP(K68,ucty_synt!A:B,2,0))</f>
        <v>-</v>
      </c>
      <c r="M68" s="15" t="str">
        <f>IF(S68="-","-",VLOOKUP(K68,ucty_synt!A:S,3,0))</f>
        <v>-</v>
      </c>
      <c r="N68" s="15" t="str">
        <f>IF(I68=0,"-",IF(M68="Rozvaha",VLOOKUP(S68,'radky_R'!A:O,6,0),IF(M68="Výsledovka",VLOOKUP(S68,'radky_V'!A:M,6,0),"-")))</f>
        <v>-</v>
      </c>
      <c r="O68" s="3" t="str">
        <f>IF(I68=0,"-",IF(COUNTIF(ucty_synt!A:A,K68)=0,"účet n/a",IF(VLOOKUP(K68,ucty_synt!A:S,4,0)=RIGHT($P$1,5),"podle AÚ",IF(VLOOKUP(K68,ucty_synt!A:S,4,0)=RIGHT($Q$1,5),"podle SÚ",IF(SUMIF(ucty_synt!A:A,K68,ucty_synt!E:E)&lt;&gt;0,VLOOKUP(K68,ucty_synt!A:T,5,0),"doplnit")))))</f>
        <v>-</v>
      </c>
      <c r="P68" s="3" t="str">
        <f>IF(I68=0,"-",IF(VLOOKUP(K68,ucty_synt!A:S,4,0)=RIGHT($P$1,5),IF(SUMIFS(I:I,C:C,C68,D:D,D68)&gt;=0,VLOOKUP(K68,ucty_synt!A:E,5,0),VLOOKUP(K68,ucty_synt!A:L,12,0)),"-"))</f>
        <v>-</v>
      </c>
      <c r="Q68" s="3" t="str">
        <f>IF(I68=0,"-",IF(VLOOKUP(K68,ucty_synt!A:S,4,0)=RIGHT($Q$1,5),IF(SUMIFS(I:I,C:C,C68,K:K,K68)&gt;=0,VLOOKUP(K68,ucty_synt!A:E,5,0),VLOOKUP(K68,ucty_synt!A:L,12,0)),"-"))</f>
        <v>-</v>
      </c>
      <c r="R68" s="459"/>
      <c r="S68" s="8" t="str">
        <f t="shared" ref="S68:S99" si="13">IF(ISNUMBER(R68),R68,IF(ISNUMBER(Q68),Q68,IF(ISNUMBER(P68),P68,IF(ISNUMBER(O68),O68,"-"))))</f>
        <v>-</v>
      </c>
      <c r="T68" s="15" t="str">
        <f>IF(S68="-","-",IF(M68="Rozvaha",VLOOKUP(S68,'radky_R'!A:O,14,0),IF(M68="Výsledovka",VLOOKUP(S68,'radky_V'!A:M,12,0),"-")))</f>
        <v>-</v>
      </c>
      <c r="U68" s="20" t="str">
        <f>IF(I68=0,"-",IF(M68="Rozvaha",VLOOKUP(S68,'radky_R'!A:O,8,0),IF(M68="Výsledovka",VLOOKUP(S68,'radky_V'!A:M,8,0),"-")))</f>
        <v>-</v>
      </c>
      <c r="V68" s="20" t="str">
        <f>IF(I68=0,"-",IF(M68="Rozvaha",VLOOKUP(S68,'radky_R'!A:O,9,0),IF(M68="Výsledovka",VLOOKUP(S68,'radky_V'!A:M,9,0),"-")))</f>
        <v>-</v>
      </c>
      <c r="W68" s="104" t="str">
        <f>IF(I68=0,"-",IF(M68="Rozvaha",VLOOKUP(S68,'radky_R'!A:O,15,0),IF(M68="Výsledovka",VLOOKUP(S68,'radky_V'!A:M,11,0),"-")))</f>
        <v>-</v>
      </c>
      <c r="X68" s="5" t="str">
        <f>IF(I68=0,"-",VLOOKUP(K68,ucty_synt!A:S,19,0))</f>
        <v>-</v>
      </c>
      <c r="Y68" s="6">
        <f t="shared" ref="Y68:Y99" si="14">I68/zaokr</f>
        <v>0</v>
      </c>
      <c r="Z68" s="650" t="str">
        <f>IF(data[[#This Row],[uc_synt]]="-","-",VLOOKUP(data[[#This Row],[uc_synt]],ucty_synt!A:T,20,0))</f>
        <v>-</v>
      </c>
      <c r="AA68" s="650" t="str">
        <f>IF(COUNTIF(proc_exc!A:A,data[[#This Row],[ucet]])&gt;1,"chyba v proc_exc!",IF(COUNTIF(proc_exc!A:A,data[[#This Row],[ucet]])=1,VLOOKUP(data[[#This Row],[ucet]],proc_exc!A:E,5,0),data[[#This Row],[proces default]]))</f>
        <v>-</v>
      </c>
    </row>
    <row r="69" spans="2:27" x14ac:dyDescent="0.3">
      <c r="B69" s="36"/>
      <c r="C69" s="32"/>
      <c r="J69" s="15" t="str">
        <f t="shared" si="12"/>
        <v xml:space="preserve"> </v>
      </c>
      <c r="K69" s="3" t="str">
        <f>IF(I69=0,"-",VALUE(LEFT(D69,LEN(D69)-(INDEX!$E$13-3))))</f>
        <v>-</v>
      </c>
      <c r="L69" s="5" t="str">
        <f>IF(I69=0,"-",VLOOKUP(K69,ucty_synt!A:B,2,0))</f>
        <v>-</v>
      </c>
      <c r="M69" s="15" t="str">
        <f>IF(S69="-","-",VLOOKUP(K69,ucty_synt!A:S,3,0))</f>
        <v>-</v>
      </c>
      <c r="N69" s="15" t="str">
        <f>IF(I69=0,"-",IF(M69="Rozvaha",VLOOKUP(S69,'radky_R'!A:O,6,0),IF(M69="Výsledovka",VLOOKUP(S69,'radky_V'!A:M,6,0),"-")))</f>
        <v>-</v>
      </c>
      <c r="O69" s="3" t="str">
        <f>IF(I69=0,"-",IF(COUNTIF(ucty_synt!A:A,K69)=0,"účet n/a",IF(VLOOKUP(K69,ucty_synt!A:S,4,0)=RIGHT($P$1,5),"podle AÚ",IF(VLOOKUP(K69,ucty_synt!A:S,4,0)=RIGHT($Q$1,5),"podle SÚ",IF(SUMIF(ucty_synt!A:A,K69,ucty_synt!E:E)&lt;&gt;0,VLOOKUP(K69,ucty_synt!A:T,5,0),"doplnit")))))</f>
        <v>-</v>
      </c>
      <c r="P69" s="3" t="str">
        <f>IF(I69=0,"-",IF(VLOOKUP(K69,ucty_synt!A:S,4,0)=RIGHT($P$1,5),IF(SUMIFS(I:I,C:C,C69,D:D,D69)&gt;=0,VLOOKUP(K69,ucty_synt!A:E,5,0),VLOOKUP(K69,ucty_synt!A:L,12,0)),"-"))</f>
        <v>-</v>
      </c>
      <c r="Q69" s="3" t="str">
        <f>IF(I69=0,"-",IF(VLOOKUP(K69,ucty_synt!A:S,4,0)=RIGHT($Q$1,5),IF(SUMIFS(I:I,C:C,C69,K:K,K69)&gt;=0,VLOOKUP(K69,ucty_synt!A:E,5,0),VLOOKUP(K69,ucty_synt!A:L,12,0)),"-"))</f>
        <v>-</v>
      </c>
      <c r="R69" s="459"/>
      <c r="S69" s="8" t="str">
        <f t="shared" si="13"/>
        <v>-</v>
      </c>
      <c r="T69" s="15" t="str">
        <f>IF(S69="-","-",IF(M69="Rozvaha",VLOOKUP(S69,'radky_R'!A:O,14,0),IF(M69="Výsledovka",VLOOKUP(S69,'radky_V'!A:M,12,0),"-")))</f>
        <v>-</v>
      </c>
      <c r="U69" s="20" t="str">
        <f>IF(I69=0,"-",IF(M69="Rozvaha",VLOOKUP(S69,'radky_R'!A:O,8,0),IF(M69="Výsledovka",VLOOKUP(S69,'radky_V'!A:M,8,0),"-")))</f>
        <v>-</v>
      </c>
      <c r="V69" s="20" t="str">
        <f>IF(I69=0,"-",IF(M69="Rozvaha",VLOOKUP(S69,'radky_R'!A:O,9,0),IF(M69="Výsledovka",VLOOKUP(S69,'radky_V'!A:M,9,0),"-")))</f>
        <v>-</v>
      </c>
      <c r="W69" s="104" t="str">
        <f>IF(I69=0,"-",IF(M69="Rozvaha",VLOOKUP(S69,'radky_R'!A:O,15,0),IF(M69="Výsledovka",VLOOKUP(S69,'radky_V'!A:M,11,0),"-")))</f>
        <v>-</v>
      </c>
      <c r="X69" s="5" t="str">
        <f>IF(I69=0,"-",VLOOKUP(K69,ucty_synt!A:S,19,0))</f>
        <v>-</v>
      </c>
      <c r="Y69" s="6">
        <f t="shared" si="14"/>
        <v>0</v>
      </c>
      <c r="Z69" s="650" t="str">
        <f>IF(data[[#This Row],[uc_synt]]="-","-",VLOOKUP(data[[#This Row],[uc_synt]],ucty_synt!A:T,20,0))</f>
        <v>-</v>
      </c>
      <c r="AA69" s="650" t="str">
        <f>IF(COUNTIF(proc_exc!A:A,data[[#This Row],[ucet]])&gt;1,"chyba v proc_exc!",IF(COUNTIF(proc_exc!A:A,data[[#This Row],[ucet]])=1,VLOOKUP(data[[#This Row],[ucet]],proc_exc!A:E,5,0),data[[#This Row],[proces default]]))</f>
        <v>-</v>
      </c>
    </row>
    <row r="70" spans="2:27" x14ac:dyDescent="0.3">
      <c r="B70" s="36"/>
      <c r="C70" s="32"/>
      <c r="J70" s="15" t="str">
        <f t="shared" si="12"/>
        <v xml:space="preserve"> </v>
      </c>
      <c r="K70" s="3" t="str">
        <f>IF(I70=0,"-",VALUE(LEFT(D70,LEN(D70)-(INDEX!$E$13-3))))</f>
        <v>-</v>
      </c>
      <c r="L70" s="5" t="str">
        <f>IF(I70=0,"-",VLOOKUP(K70,ucty_synt!A:B,2,0))</f>
        <v>-</v>
      </c>
      <c r="M70" s="15" t="str">
        <f>IF(S70="-","-",VLOOKUP(K70,ucty_synt!A:S,3,0))</f>
        <v>-</v>
      </c>
      <c r="N70" s="15" t="str">
        <f>IF(I70=0,"-",IF(M70="Rozvaha",VLOOKUP(S70,'radky_R'!A:O,6,0),IF(M70="Výsledovka",VLOOKUP(S70,'radky_V'!A:M,6,0),"-")))</f>
        <v>-</v>
      </c>
      <c r="O70" s="3" t="str">
        <f>IF(I70=0,"-",IF(COUNTIF(ucty_synt!A:A,K70)=0,"účet n/a",IF(VLOOKUP(K70,ucty_synt!A:S,4,0)=RIGHT($P$1,5),"podle AÚ",IF(VLOOKUP(K70,ucty_synt!A:S,4,0)=RIGHT($Q$1,5),"podle SÚ",IF(SUMIF(ucty_synt!A:A,K70,ucty_synt!E:E)&lt;&gt;0,VLOOKUP(K70,ucty_synt!A:T,5,0),"doplnit")))))</f>
        <v>-</v>
      </c>
      <c r="P70" s="3" t="str">
        <f>IF(I70=0,"-",IF(VLOOKUP(K70,ucty_synt!A:S,4,0)=RIGHT($P$1,5),IF(SUMIFS(I:I,C:C,C70,D:D,D70)&gt;=0,VLOOKUP(K70,ucty_synt!A:E,5,0),VLOOKUP(K70,ucty_synt!A:L,12,0)),"-"))</f>
        <v>-</v>
      </c>
      <c r="Q70" s="3" t="str">
        <f>IF(I70=0,"-",IF(VLOOKUP(K70,ucty_synt!A:S,4,0)=RIGHT($Q$1,5),IF(SUMIFS(I:I,C:C,C70,K:K,K70)&gt;=0,VLOOKUP(K70,ucty_synt!A:E,5,0),VLOOKUP(K70,ucty_synt!A:L,12,0)),"-"))</f>
        <v>-</v>
      </c>
      <c r="R70" s="459"/>
      <c r="S70" s="8" t="str">
        <f t="shared" si="13"/>
        <v>-</v>
      </c>
      <c r="T70" s="15" t="str">
        <f>IF(S70="-","-",IF(M70="Rozvaha",VLOOKUP(S70,'radky_R'!A:O,14,0),IF(M70="Výsledovka",VLOOKUP(S70,'radky_V'!A:M,12,0),"-")))</f>
        <v>-</v>
      </c>
      <c r="U70" s="20" t="str">
        <f>IF(I70=0,"-",IF(M70="Rozvaha",VLOOKUP(S70,'radky_R'!A:O,8,0),IF(M70="Výsledovka",VLOOKUP(S70,'radky_V'!A:M,8,0),"-")))</f>
        <v>-</v>
      </c>
      <c r="V70" s="20" t="str">
        <f>IF(I70=0,"-",IF(M70="Rozvaha",VLOOKUP(S70,'radky_R'!A:O,9,0),IF(M70="Výsledovka",VLOOKUP(S70,'radky_V'!A:M,9,0),"-")))</f>
        <v>-</v>
      </c>
      <c r="W70" s="104" t="str">
        <f>IF(I70=0,"-",IF(M70="Rozvaha",VLOOKUP(S70,'radky_R'!A:O,15,0),IF(M70="Výsledovka",VLOOKUP(S70,'radky_V'!A:M,11,0),"-")))</f>
        <v>-</v>
      </c>
      <c r="X70" s="5" t="str">
        <f>IF(I70=0,"-",VLOOKUP(K70,ucty_synt!A:S,19,0))</f>
        <v>-</v>
      </c>
      <c r="Y70" s="6">
        <f t="shared" si="14"/>
        <v>0</v>
      </c>
      <c r="Z70" s="650" t="str">
        <f>IF(data[[#This Row],[uc_synt]]="-","-",VLOOKUP(data[[#This Row],[uc_synt]],ucty_synt!A:T,20,0))</f>
        <v>-</v>
      </c>
      <c r="AA70" s="650" t="str">
        <f>IF(COUNTIF(proc_exc!A:A,data[[#This Row],[ucet]])&gt;1,"chyba v proc_exc!",IF(COUNTIF(proc_exc!A:A,data[[#This Row],[ucet]])=1,VLOOKUP(data[[#This Row],[ucet]],proc_exc!A:E,5,0),data[[#This Row],[proces default]]))</f>
        <v>-</v>
      </c>
    </row>
    <row r="71" spans="2:27" x14ac:dyDescent="0.3">
      <c r="B71" s="36"/>
      <c r="C71" s="32"/>
      <c r="J71" s="15" t="str">
        <f t="shared" si="12"/>
        <v xml:space="preserve"> </v>
      </c>
      <c r="K71" s="3" t="str">
        <f>IF(I71=0,"-",VALUE(LEFT(D71,LEN(D71)-(INDEX!$E$13-3))))</f>
        <v>-</v>
      </c>
      <c r="L71" s="5" t="str">
        <f>IF(I71=0,"-",VLOOKUP(K71,ucty_synt!A:B,2,0))</f>
        <v>-</v>
      </c>
      <c r="M71" s="15" t="str">
        <f>IF(S71="-","-",VLOOKUP(K71,ucty_synt!A:S,3,0))</f>
        <v>-</v>
      </c>
      <c r="N71" s="15" t="str">
        <f>IF(I71=0,"-",IF(M71="Rozvaha",VLOOKUP(S71,'radky_R'!A:O,6,0),IF(M71="Výsledovka",VLOOKUP(S71,'radky_V'!A:M,6,0),"-")))</f>
        <v>-</v>
      </c>
      <c r="O71" s="3" t="str">
        <f>IF(I71=0,"-",IF(COUNTIF(ucty_synt!A:A,K71)=0,"účet n/a",IF(VLOOKUP(K71,ucty_synt!A:S,4,0)=RIGHT($P$1,5),"podle AÚ",IF(VLOOKUP(K71,ucty_synt!A:S,4,0)=RIGHT($Q$1,5),"podle SÚ",IF(SUMIF(ucty_synt!A:A,K71,ucty_synt!E:E)&lt;&gt;0,VLOOKUP(K71,ucty_synt!A:T,5,0),"doplnit")))))</f>
        <v>-</v>
      </c>
      <c r="P71" s="3" t="str">
        <f>IF(I71=0,"-",IF(VLOOKUP(K71,ucty_synt!A:S,4,0)=RIGHT($P$1,5),IF(SUMIFS(I:I,C:C,C71,D:D,D71)&gt;=0,VLOOKUP(K71,ucty_synt!A:E,5,0),VLOOKUP(K71,ucty_synt!A:L,12,0)),"-"))</f>
        <v>-</v>
      </c>
      <c r="Q71" s="3" t="str">
        <f>IF(I71=0,"-",IF(VLOOKUP(K71,ucty_synt!A:S,4,0)=RIGHT($Q$1,5),IF(SUMIFS(I:I,C:C,C71,K:K,K71)&gt;=0,VLOOKUP(K71,ucty_synt!A:E,5,0),VLOOKUP(K71,ucty_synt!A:L,12,0)),"-"))</f>
        <v>-</v>
      </c>
      <c r="R71" s="459"/>
      <c r="S71" s="8" t="str">
        <f t="shared" si="13"/>
        <v>-</v>
      </c>
      <c r="T71" s="15" t="str">
        <f>IF(S71="-","-",IF(M71="Rozvaha",VLOOKUP(S71,'radky_R'!A:O,14,0),IF(M71="Výsledovka",VLOOKUP(S71,'radky_V'!A:M,12,0),"-")))</f>
        <v>-</v>
      </c>
      <c r="U71" s="20" t="str">
        <f>IF(I71=0,"-",IF(M71="Rozvaha",VLOOKUP(S71,'radky_R'!A:O,8,0),IF(M71="Výsledovka",VLOOKUP(S71,'radky_V'!A:M,8,0),"-")))</f>
        <v>-</v>
      </c>
      <c r="V71" s="20" t="str">
        <f>IF(I71=0,"-",IF(M71="Rozvaha",VLOOKUP(S71,'radky_R'!A:O,9,0),IF(M71="Výsledovka",VLOOKUP(S71,'radky_V'!A:M,9,0),"-")))</f>
        <v>-</v>
      </c>
      <c r="W71" s="104" t="str">
        <f>IF(I71=0,"-",IF(M71="Rozvaha",VLOOKUP(S71,'radky_R'!A:O,15,0),IF(M71="Výsledovka",VLOOKUP(S71,'radky_V'!A:M,11,0),"-")))</f>
        <v>-</v>
      </c>
      <c r="X71" s="5" t="str">
        <f>IF(I71=0,"-",VLOOKUP(K71,ucty_synt!A:S,19,0))</f>
        <v>-</v>
      </c>
      <c r="Y71" s="6">
        <f t="shared" si="14"/>
        <v>0</v>
      </c>
      <c r="Z71" s="650" t="str">
        <f>IF(data[[#This Row],[uc_synt]]="-","-",VLOOKUP(data[[#This Row],[uc_synt]],ucty_synt!A:T,20,0))</f>
        <v>-</v>
      </c>
      <c r="AA71" s="650" t="str">
        <f>IF(COUNTIF(proc_exc!A:A,data[[#This Row],[ucet]])&gt;1,"chyba v proc_exc!",IF(COUNTIF(proc_exc!A:A,data[[#This Row],[ucet]])=1,VLOOKUP(data[[#This Row],[ucet]],proc_exc!A:E,5,0),data[[#This Row],[proces default]]))</f>
        <v>-</v>
      </c>
    </row>
    <row r="72" spans="2:27" x14ac:dyDescent="0.3">
      <c r="B72" s="36"/>
      <c r="C72" s="32"/>
      <c r="J72" s="15" t="str">
        <f t="shared" si="12"/>
        <v xml:space="preserve"> </v>
      </c>
      <c r="K72" s="3" t="str">
        <f>IF(I72=0,"-",VALUE(LEFT(D72,LEN(D72)-(INDEX!$E$13-3))))</f>
        <v>-</v>
      </c>
      <c r="L72" s="5" t="str">
        <f>IF(I72=0,"-",VLOOKUP(K72,ucty_synt!A:B,2,0))</f>
        <v>-</v>
      </c>
      <c r="M72" s="15" t="str">
        <f>IF(S72="-","-",VLOOKUP(K72,ucty_synt!A:S,3,0))</f>
        <v>-</v>
      </c>
      <c r="N72" s="15" t="str">
        <f>IF(I72=0,"-",IF(M72="Rozvaha",VLOOKUP(S72,'radky_R'!A:O,6,0),IF(M72="Výsledovka",VLOOKUP(S72,'radky_V'!A:M,6,0),"-")))</f>
        <v>-</v>
      </c>
      <c r="O72" s="3" t="str">
        <f>IF(I72=0,"-",IF(COUNTIF(ucty_synt!A:A,K72)=0,"účet n/a",IF(VLOOKUP(K72,ucty_synt!A:S,4,0)=RIGHT($P$1,5),"podle AÚ",IF(VLOOKUP(K72,ucty_synt!A:S,4,0)=RIGHT($Q$1,5),"podle SÚ",IF(SUMIF(ucty_synt!A:A,K72,ucty_synt!E:E)&lt;&gt;0,VLOOKUP(K72,ucty_synt!A:T,5,0),"doplnit")))))</f>
        <v>-</v>
      </c>
      <c r="P72" s="3" t="str">
        <f>IF(I72=0,"-",IF(VLOOKUP(K72,ucty_synt!A:S,4,0)=RIGHT($P$1,5),IF(SUMIFS(I:I,C:C,C72,D:D,D72)&gt;=0,VLOOKUP(K72,ucty_synt!A:E,5,0),VLOOKUP(K72,ucty_synt!A:L,12,0)),"-"))</f>
        <v>-</v>
      </c>
      <c r="Q72" s="3" t="str">
        <f>IF(I72=0,"-",IF(VLOOKUP(K72,ucty_synt!A:S,4,0)=RIGHT($Q$1,5),IF(SUMIFS(I:I,C:C,C72,K:K,K72)&gt;=0,VLOOKUP(K72,ucty_synt!A:E,5,0),VLOOKUP(K72,ucty_synt!A:L,12,0)),"-"))</f>
        <v>-</v>
      </c>
      <c r="R72" s="459"/>
      <c r="S72" s="8" t="str">
        <f t="shared" si="13"/>
        <v>-</v>
      </c>
      <c r="T72" s="15" t="str">
        <f>IF(S72="-","-",IF(M72="Rozvaha",VLOOKUP(S72,'radky_R'!A:O,14,0),IF(M72="Výsledovka",VLOOKUP(S72,'radky_V'!A:M,12,0),"-")))</f>
        <v>-</v>
      </c>
      <c r="U72" s="20" t="str">
        <f>IF(I72=0,"-",IF(M72="Rozvaha",VLOOKUP(S72,'radky_R'!A:O,8,0),IF(M72="Výsledovka",VLOOKUP(S72,'radky_V'!A:M,8,0),"-")))</f>
        <v>-</v>
      </c>
      <c r="V72" s="20" t="str">
        <f>IF(I72=0,"-",IF(M72="Rozvaha",VLOOKUP(S72,'radky_R'!A:O,9,0),IF(M72="Výsledovka",VLOOKUP(S72,'radky_V'!A:M,9,0),"-")))</f>
        <v>-</v>
      </c>
      <c r="W72" s="104" t="str">
        <f>IF(I72=0,"-",IF(M72="Rozvaha",VLOOKUP(S72,'radky_R'!A:O,15,0),IF(M72="Výsledovka",VLOOKUP(S72,'radky_V'!A:M,11,0),"-")))</f>
        <v>-</v>
      </c>
      <c r="X72" s="5" t="str">
        <f>IF(I72=0,"-",VLOOKUP(K72,ucty_synt!A:S,19,0))</f>
        <v>-</v>
      </c>
      <c r="Y72" s="6">
        <f t="shared" si="14"/>
        <v>0</v>
      </c>
      <c r="Z72" s="650" t="str">
        <f>IF(data[[#This Row],[uc_synt]]="-","-",VLOOKUP(data[[#This Row],[uc_synt]],ucty_synt!A:T,20,0))</f>
        <v>-</v>
      </c>
      <c r="AA72" s="650" t="str">
        <f>IF(COUNTIF(proc_exc!A:A,data[[#This Row],[ucet]])&gt;1,"chyba v proc_exc!",IF(COUNTIF(proc_exc!A:A,data[[#This Row],[ucet]])=1,VLOOKUP(data[[#This Row],[ucet]],proc_exc!A:E,5,0),data[[#This Row],[proces default]]))</f>
        <v>-</v>
      </c>
    </row>
    <row r="73" spans="2:27" x14ac:dyDescent="0.3">
      <c r="B73" s="36"/>
      <c r="C73" s="32"/>
      <c r="J73" s="15" t="str">
        <f t="shared" si="12"/>
        <v xml:space="preserve"> </v>
      </c>
      <c r="K73" s="3" t="str">
        <f>IF(I73=0,"-",VALUE(LEFT(D73,LEN(D73)-(INDEX!$E$13-3))))</f>
        <v>-</v>
      </c>
      <c r="L73" s="5" t="str">
        <f>IF(I73=0,"-",VLOOKUP(K73,ucty_synt!A:B,2,0))</f>
        <v>-</v>
      </c>
      <c r="M73" s="15" t="str">
        <f>IF(S73="-","-",VLOOKUP(K73,ucty_synt!A:S,3,0))</f>
        <v>-</v>
      </c>
      <c r="N73" s="15" t="str">
        <f>IF(I73=0,"-",IF(M73="Rozvaha",VLOOKUP(S73,'radky_R'!A:O,6,0),IF(M73="Výsledovka",VLOOKUP(S73,'radky_V'!A:M,6,0),"-")))</f>
        <v>-</v>
      </c>
      <c r="O73" s="3" t="str">
        <f>IF(I73=0,"-",IF(COUNTIF(ucty_synt!A:A,K73)=0,"účet n/a",IF(VLOOKUP(K73,ucty_synt!A:S,4,0)=RIGHT($P$1,5),"podle AÚ",IF(VLOOKUP(K73,ucty_synt!A:S,4,0)=RIGHT($Q$1,5),"podle SÚ",IF(SUMIF(ucty_synt!A:A,K73,ucty_synt!E:E)&lt;&gt;0,VLOOKUP(K73,ucty_synt!A:T,5,0),"doplnit")))))</f>
        <v>-</v>
      </c>
      <c r="P73" s="3" t="str">
        <f>IF(I73=0,"-",IF(VLOOKUP(K73,ucty_synt!A:S,4,0)=RIGHT($P$1,5),IF(SUMIFS(I:I,C:C,C73,D:D,D73)&gt;=0,VLOOKUP(K73,ucty_synt!A:E,5,0),VLOOKUP(K73,ucty_synt!A:L,12,0)),"-"))</f>
        <v>-</v>
      </c>
      <c r="Q73" s="3" t="str">
        <f>IF(I73=0,"-",IF(VLOOKUP(K73,ucty_synt!A:S,4,0)=RIGHT($Q$1,5),IF(SUMIFS(I:I,C:C,C73,K:K,K73)&gt;=0,VLOOKUP(K73,ucty_synt!A:E,5,0),VLOOKUP(K73,ucty_synt!A:L,12,0)),"-"))</f>
        <v>-</v>
      </c>
      <c r="R73" s="459"/>
      <c r="S73" s="8" t="str">
        <f t="shared" si="13"/>
        <v>-</v>
      </c>
      <c r="T73" s="15" t="str">
        <f>IF(S73="-","-",IF(M73="Rozvaha",VLOOKUP(S73,'radky_R'!A:O,14,0),IF(M73="Výsledovka",VLOOKUP(S73,'radky_V'!A:M,12,0),"-")))</f>
        <v>-</v>
      </c>
      <c r="U73" s="20" t="str">
        <f>IF(I73=0,"-",IF(M73="Rozvaha",VLOOKUP(S73,'radky_R'!A:O,8,0),IF(M73="Výsledovka",VLOOKUP(S73,'radky_V'!A:M,8,0),"-")))</f>
        <v>-</v>
      </c>
      <c r="V73" s="20" t="str">
        <f>IF(I73=0,"-",IF(M73="Rozvaha",VLOOKUP(S73,'radky_R'!A:O,9,0),IF(M73="Výsledovka",VLOOKUP(S73,'radky_V'!A:M,9,0),"-")))</f>
        <v>-</v>
      </c>
      <c r="W73" s="104" t="str">
        <f>IF(I73=0,"-",IF(M73="Rozvaha",VLOOKUP(S73,'radky_R'!A:O,15,0),IF(M73="Výsledovka",VLOOKUP(S73,'radky_V'!A:M,11,0),"-")))</f>
        <v>-</v>
      </c>
      <c r="X73" s="5" t="str">
        <f>IF(I73=0,"-",VLOOKUP(K73,ucty_synt!A:S,19,0))</f>
        <v>-</v>
      </c>
      <c r="Y73" s="6">
        <f t="shared" si="14"/>
        <v>0</v>
      </c>
      <c r="Z73" s="650" t="str">
        <f>IF(data[[#This Row],[uc_synt]]="-","-",VLOOKUP(data[[#This Row],[uc_synt]],ucty_synt!A:T,20,0))</f>
        <v>-</v>
      </c>
      <c r="AA73" s="650" t="str">
        <f>IF(COUNTIF(proc_exc!A:A,data[[#This Row],[ucet]])&gt;1,"chyba v proc_exc!",IF(COUNTIF(proc_exc!A:A,data[[#This Row],[ucet]])=1,VLOOKUP(data[[#This Row],[ucet]],proc_exc!A:E,5,0),data[[#This Row],[proces default]]))</f>
        <v>-</v>
      </c>
    </row>
    <row r="74" spans="2:27" x14ac:dyDescent="0.3">
      <c r="B74" s="36"/>
      <c r="C74" s="32"/>
      <c r="J74" s="15" t="str">
        <f t="shared" si="12"/>
        <v xml:space="preserve"> </v>
      </c>
      <c r="K74" s="3" t="str">
        <f>IF(I74=0,"-",VALUE(LEFT(D74,LEN(D74)-(INDEX!$E$13-3))))</f>
        <v>-</v>
      </c>
      <c r="L74" s="5" t="str">
        <f>IF(I74=0,"-",VLOOKUP(K74,ucty_synt!A:B,2,0))</f>
        <v>-</v>
      </c>
      <c r="M74" s="15" t="str">
        <f>IF(S74="-","-",VLOOKUP(K74,ucty_synt!A:S,3,0))</f>
        <v>-</v>
      </c>
      <c r="N74" s="15" t="str">
        <f>IF(I74=0,"-",IF(M74="Rozvaha",VLOOKUP(S74,'radky_R'!A:O,6,0),IF(M74="Výsledovka",VLOOKUP(S74,'radky_V'!A:M,6,0),"-")))</f>
        <v>-</v>
      </c>
      <c r="O74" s="3" t="str">
        <f>IF(I74=0,"-",IF(COUNTIF(ucty_synt!A:A,K74)=0,"účet n/a",IF(VLOOKUP(K74,ucty_synt!A:S,4,0)=RIGHT($P$1,5),"podle AÚ",IF(VLOOKUP(K74,ucty_synt!A:S,4,0)=RIGHT($Q$1,5),"podle SÚ",IF(SUMIF(ucty_synt!A:A,K74,ucty_synt!E:E)&lt;&gt;0,VLOOKUP(K74,ucty_synt!A:T,5,0),"doplnit")))))</f>
        <v>-</v>
      </c>
      <c r="P74" s="3" t="str">
        <f>IF(I74=0,"-",IF(VLOOKUP(K74,ucty_synt!A:S,4,0)=RIGHT($P$1,5),IF(SUMIFS(I:I,C:C,C74,D:D,D74)&gt;=0,VLOOKUP(K74,ucty_synt!A:E,5,0),VLOOKUP(K74,ucty_synt!A:L,12,0)),"-"))</f>
        <v>-</v>
      </c>
      <c r="Q74" s="3" t="str">
        <f>IF(I74=0,"-",IF(VLOOKUP(K74,ucty_synt!A:S,4,0)=RIGHT($Q$1,5),IF(SUMIFS(I:I,C:C,C74,K:K,K74)&gt;=0,VLOOKUP(K74,ucty_synt!A:E,5,0),VLOOKUP(K74,ucty_synt!A:L,12,0)),"-"))</f>
        <v>-</v>
      </c>
      <c r="R74" s="459"/>
      <c r="S74" s="8" t="str">
        <f t="shared" si="13"/>
        <v>-</v>
      </c>
      <c r="T74" s="15" t="str">
        <f>IF(S74="-","-",IF(M74="Rozvaha",VLOOKUP(S74,'radky_R'!A:O,14,0),IF(M74="Výsledovka",VLOOKUP(S74,'radky_V'!A:M,12,0),"-")))</f>
        <v>-</v>
      </c>
      <c r="U74" s="20" t="str">
        <f>IF(I74=0,"-",IF(M74="Rozvaha",VLOOKUP(S74,'radky_R'!A:O,8,0),IF(M74="Výsledovka",VLOOKUP(S74,'radky_V'!A:M,8,0),"-")))</f>
        <v>-</v>
      </c>
      <c r="V74" s="20" t="str">
        <f>IF(I74=0,"-",IF(M74="Rozvaha",VLOOKUP(S74,'radky_R'!A:O,9,0),IF(M74="Výsledovka",VLOOKUP(S74,'radky_V'!A:M,9,0),"-")))</f>
        <v>-</v>
      </c>
      <c r="W74" s="104" t="str">
        <f>IF(I74=0,"-",IF(M74="Rozvaha",VLOOKUP(S74,'radky_R'!A:O,15,0),IF(M74="Výsledovka",VLOOKUP(S74,'radky_V'!A:M,11,0),"-")))</f>
        <v>-</v>
      </c>
      <c r="X74" s="5" t="str">
        <f>IF(I74=0,"-",VLOOKUP(K74,ucty_synt!A:S,19,0))</f>
        <v>-</v>
      </c>
      <c r="Y74" s="6">
        <f t="shared" si="14"/>
        <v>0</v>
      </c>
      <c r="Z74" s="650" t="str">
        <f>IF(data[[#This Row],[uc_synt]]="-","-",VLOOKUP(data[[#This Row],[uc_synt]],ucty_synt!A:T,20,0))</f>
        <v>-</v>
      </c>
      <c r="AA74" s="650" t="str">
        <f>IF(COUNTIF(proc_exc!A:A,data[[#This Row],[ucet]])&gt;1,"chyba v proc_exc!",IF(COUNTIF(proc_exc!A:A,data[[#This Row],[ucet]])=1,VLOOKUP(data[[#This Row],[ucet]],proc_exc!A:E,5,0),data[[#This Row],[proces default]]))</f>
        <v>-</v>
      </c>
    </row>
    <row r="75" spans="2:27" x14ac:dyDescent="0.3">
      <c r="B75" s="36"/>
      <c r="C75" s="32"/>
      <c r="J75" s="15" t="str">
        <f t="shared" si="12"/>
        <v xml:space="preserve"> </v>
      </c>
      <c r="K75" s="3" t="str">
        <f>IF(I75=0,"-",VALUE(LEFT(D75,LEN(D75)-(INDEX!$E$13-3))))</f>
        <v>-</v>
      </c>
      <c r="L75" s="5" t="str">
        <f>IF(I75=0,"-",VLOOKUP(K75,ucty_synt!A:B,2,0))</f>
        <v>-</v>
      </c>
      <c r="M75" s="15" t="str">
        <f>IF(S75="-","-",VLOOKUP(K75,ucty_synt!A:S,3,0))</f>
        <v>-</v>
      </c>
      <c r="N75" s="15" t="str">
        <f>IF(I75=0,"-",IF(M75="Rozvaha",VLOOKUP(S75,'radky_R'!A:O,6,0),IF(M75="Výsledovka",VLOOKUP(S75,'radky_V'!A:M,6,0),"-")))</f>
        <v>-</v>
      </c>
      <c r="O75" s="3" t="str">
        <f>IF(I75=0,"-",IF(COUNTIF(ucty_synt!A:A,K75)=0,"účet n/a",IF(VLOOKUP(K75,ucty_synt!A:S,4,0)=RIGHT($P$1,5),"podle AÚ",IF(VLOOKUP(K75,ucty_synt!A:S,4,0)=RIGHT($Q$1,5),"podle SÚ",IF(SUMIF(ucty_synt!A:A,K75,ucty_synt!E:E)&lt;&gt;0,VLOOKUP(K75,ucty_synt!A:T,5,0),"doplnit")))))</f>
        <v>-</v>
      </c>
      <c r="P75" s="3" t="str">
        <f>IF(I75=0,"-",IF(VLOOKUP(K75,ucty_synt!A:S,4,0)=RIGHT($P$1,5),IF(SUMIFS(I:I,C:C,C75,D:D,D75)&gt;=0,VLOOKUP(K75,ucty_synt!A:E,5,0),VLOOKUP(K75,ucty_synt!A:L,12,0)),"-"))</f>
        <v>-</v>
      </c>
      <c r="Q75" s="3" t="str">
        <f>IF(I75=0,"-",IF(VLOOKUP(K75,ucty_synt!A:S,4,0)=RIGHT($Q$1,5),IF(SUMIFS(I:I,C:C,C75,K:K,K75)&gt;=0,VLOOKUP(K75,ucty_synt!A:E,5,0),VLOOKUP(K75,ucty_synt!A:L,12,0)),"-"))</f>
        <v>-</v>
      </c>
      <c r="R75" s="459"/>
      <c r="S75" s="8" t="str">
        <f t="shared" si="13"/>
        <v>-</v>
      </c>
      <c r="T75" s="15" t="str">
        <f>IF(S75="-","-",IF(M75="Rozvaha",VLOOKUP(S75,'radky_R'!A:O,14,0),IF(M75="Výsledovka",VLOOKUP(S75,'radky_V'!A:M,12,0),"-")))</f>
        <v>-</v>
      </c>
      <c r="U75" s="20" t="str">
        <f>IF(I75=0,"-",IF(M75="Rozvaha",VLOOKUP(S75,'radky_R'!A:O,8,0),IF(M75="Výsledovka",VLOOKUP(S75,'radky_V'!A:M,8,0),"-")))</f>
        <v>-</v>
      </c>
      <c r="V75" s="20" t="str">
        <f>IF(I75=0,"-",IF(M75="Rozvaha",VLOOKUP(S75,'radky_R'!A:O,9,0),IF(M75="Výsledovka",VLOOKUP(S75,'radky_V'!A:M,9,0),"-")))</f>
        <v>-</v>
      </c>
      <c r="W75" s="104" t="str">
        <f>IF(I75=0,"-",IF(M75="Rozvaha",VLOOKUP(S75,'radky_R'!A:O,15,0),IF(M75="Výsledovka",VLOOKUP(S75,'radky_V'!A:M,11,0),"-")))</f>
        <v>-</v>
      </c>
      <c r="X75" s="5" t="str">
        <f>IF(I75=0,"-",VLOOKUP(K75,ucty_synt!A:S,19,0))</f>
        <v>-</v>
      </c>
      <c r="Y75" s="6">
        <f t="shared" si="14"/>
        <v>0</v>
      </c>
      <c r="Z75" s="650" t="str">
        <f>IF(data[[#This Row],[uc_synt]]="-","-",VLOOKUP(data[[#This Row],[uc_synt]],ucty_synt!A:T,20,0))</f>
        <v>-</v>
      </c>
      <c r="AA75" s="650" t="str">
        <f>IF(COUNTIF(proc_exc!A:A,data[[#This Row],[ucet]])&gt;1,"chyba v proc_exc!",IF(COUNTIF(proc_exc!A:A,data[[#This Row],[ucet]])=1,VLOOKUP(data[[#This Row],[ucet]],proc_exc!A:E,5,0),data[[#This Row],[proces default]]))</f>
        <v>-</v>
      </c>
    </row>
    <row r="76" spans="2:27" x14ac:dyDescent="0.3">
      <c r="B76" s="36"/>
      <c r="C76" s="32"/>
      <c r="J76" s="15" t="str">
        <f t="shared" si="12"/>
        <v xml:space="preserve"> </v>
      </c>
      <c r="K76" s="3" t="str">
        <f>IF(I76=0,"-",VALUE(LEFT(D76,LEN(D76)-(INDEX!$E$13-3))))</f>
        <v>-</v>
      </c>
      <c r="L76" s="5" t="str">
        <f>IF(I76=0,"-",VLOOKUP(K76,ucty_synt!A:B,2,0))</f>
        <v>-</v>
      </c>
      <c r="M76" s="15" t="str">
        <f>IF(S76="-","-",VLOOKUP(K76,ucty_synt!A:S,3,0))</f>
        <v>-</v>
      </c>
      <c r="N76" s="15" t="str">
        <f>IF(I76=0,"-",IF(M76="Rozvaha",VLOOKUP(S76,'radky_R'!A:O,6,0),IF(M76="Výsledovka",VLOOKUP(S76,'radky_V'!A:M,6,0),"-")))</f>
        <v>-</v>
      </c>
      <c r="O76" s="3" t="str">
        <f>IF(I76=0,"-",IF(COUNTIF(ucty_synt!A:A,K76)=0,"účet n/a",IF(VLOOKUP(K76,ucty_synt!A:S,4,0)=RIGHT($P$1,5),"podle AÚ",IF(VLOOKUP(K76,ucty_synt!A:S,4,0)=RIGHT($Q$1,5),"podle SÚ",IF(SUMIF(ucty_synt!A:A,K76,ucty_synt!E:E)&lt;&gt;0,VLOOKUP(K76,ucty_synt!A:T,5,0),"doplnit")))))</f>
        <v>-</v>
      </c>
      <c r="P76" s="3" t="str">
        <f>IF(I76=0,"-",IF(VLOOKUP(K76,ucty_synt!A:S,4,0)=RIGHT($P$1,5),IF(SUMIFS(I:I,C:C,C76,D:D,D76)&gt;=0,VLOOKUP(K76,ucty_synt!A:E,5,0),VLOOKUP(K76,ucty_synt!A:L,12,0)),"-"))</f>
        <v>-</v>
      </c>
      <c r="Q76" s="3" t="str">
        <f>IF(I76=0,"-",IF(VLOOKUP(K76,ucty_synt!A:S,4,0)=RIGHT($Q$1,5),IF(SUMIFS(I:I,C:C,C76,K:K,K76)&gt;=0,VLOOKUP(K76,ucty_synt!A:E,5,0),VLOOKUP(K76,ucty_synt!A:L,12,0)),"-"))</f>
        <v>-</v>
      </c>
      <c r="R76" s="459"/>
      <c r="S76" s="8" t="str">
        <f t="shared" si="13"/>
        <v>-</v>
      </c>
      <c r="T76" s="15" t="str">
        <f>IF(S76="-","-",IF(M76="Rozvaha",VLOOKUP(S76,'radky_R'!A:O,14,0),IF(M76="Výsledovka",VLOOKUP(S76,'radky_V'!A:M,12,0),"-")))</f>
        <v>-</v>
      </c>
      <c r="U76" s="20" t="str">
        <f>IF(I76=0,"-",IF(M76="Rozvaha",VLOOKUP(S76,'radky_R'!A:O,8,0),IF(M76="Výsledovka",VLOOKUP(S76,'radky_V'!A:M,8,0),"-")))</f>
        <v>-</v>
      </c>
      <c r="V76" s="20" t="str">
        <f>IF(I76=0,"-",IF(M76="Rozvaha",VLOOKUP(S76,'radky_R'!A:O,9,0),IF(M76="Výsledovka",VLOOKUP(S76,'radky_V'!A:M,9,0),"-")))</f>
        <v>-</v>
      </c>
      <c r="W76" s="104" t="str">
        <f>IF(I76=0,"-",IF(M76="Rozvaha",VLOOKUP(S76,'radky_R'!A:O,15,0),IF(M76="Výsledovka",VLOOKUP(S76,'radky_V'!A:M,11,0),"-")))</f>
        <v>-</v>
      </c>
      <c r="X76" s="5" t="str">
        <f>IF(I76=0,"-",VLOOKUP(K76,ucty_synt!A:S,19,0))</f>
        <v>-</v>
      </c>
      <c r="Y76" s="6">
        <f t="shared" si="14"/>
        <v>0</v>
      </c>
      <c r="Z76" s="650" t="str">
        <f>IF(data[[#This Row],[uc_synt]]="-","-",VLOOKUP(data[[#This Row],[uc_synt]],ucty_synt!A:T,20,0))</f>
        <v>-</v>
      </c>
      <c r="AA76" s="650" t="str">
        <f>IF(COUNTIF(proc_exc!A:A,data[[#This Row],[ucet]])&gt;1,"chyba v proc_exc!",IF(COUNTIF(proc_exc!A:A,data[[#This Row],[ucet]])=1,VLOOKUP(data[[#This Row],[ucet]],proc_exc!A:E,5,0),data[[#This Row],[proces default]]))</f>
        <v>-</v>
      </c>
    </row>
    <row r="77" spans="2:27" x14ac:dyDescent="0.3">
      <c r="B77" s="36"/>
      <c r="C77" s="32"/>
      <c r="J77" s="15" t="str">
        <f t="shared" si="12"/>
        <v xml:space="preserve"> </v>
      </c>
      <c r="K77" s="3" t="str">
        <f>IF(I77=0,"-",VALUE(LEFT(D77,LEN(D77)-(INDEX!$E$13-3))))</f>
        <v>-</v>
      </c>
      <c r="L77" s="5" t="str">
        <f>IF(I77=0,"-",VLOOKUP(K77,ucty_synt!A:B,2,0))</f>
        <v>-</v>
      </c>
      <c r="M77" s="15" t="str">
        <f>IF(S77="-","-",VLOOKUP(K77,ucty_synt!A:S,3,0))</f>
        <v>-</v>
      </c>
      <c r="N77" s="15" t="str">
        <f>IF(I77=0,"-",IF(M77="Rozvaha",VLOOKUP(S77,'radky_R'!A:O,6,0),IF(M77="Výsledovka",VLOOKUP(S77,'radky_V'!A:M,6,0),"-")))</f>
        <v>-</v>
      </c>
      <c r="O77" s="3" t="str">
        <f>IF(I77=0,"-",IF(COUNTIF(ucty_synt!A:A,K77)=0,"účet n/a",IF(VLOOKUP(K77,ucty_synt!A:S,4,0)=RIGHT($P$1,5),"podle AÚ",IF(VLOOKUP(K77,ucty_synt!A:S,4,0)=RIGHT($Q$1,5),"podle SÚ",IF(SUMIF(ucty_synt!A:A,K77,ucty_synt!E:E)&lt;&gt;0,VLOOKUP(K77,ucty_synt!A:T,5,0),"doplnit")))))</f>
        <v>-</v>
      </c>
      <c r="P77" s="3" t="str">
        <f>IF(I77=0,"-",IF(VLOOKUP(K77,ucty_synt!A:S,4,0)=RIGHT($P$1,5),IF(SUMIFS(I:I,C:C,C77,D:D,D77)&gt;=0,VLOOKUP(K77,ucty_synt!A:E,5,0),VLOOKUP(K77,ucty_synt!A:L,12,0)),"-"))</f>
        <v>-</v>
      </c>
      <c r="Q77" s="3" t="str">
        <f>IF(I77=0,"-",IF(VLOOKUP(K77,ucty_synt!A:S,4,0)=RIGHT($Q$1,5),IF(SUMIFS(I:I,C:C,C77,K:K,K77)&gt;=0,VLOOKUP(K77,ucty_synt!A:E,5,0),VLOOKUP(K77,ucty_synt!A:L,12,0)),"-"))</f>
        <v>-</v>
      </c>
      <c r="R77" s="459"/>
      <c r="S77" s="8" t="str">
        <f t="shared" si="13"/>
        <v>-</v>
      </c>
      <c r="T77" s="15" t="str">
        <f>IF(S77="-","-",IF(M77="Rozvaha",VLOOKUP(S77,'radky_R'!A:O,14,0),IF(M77="Výsledovka",VLOOKUP(S77,'radky_V'!A:M,12,0),"-")))</f>
        <v>-</v>
      </c>
      <c r="U77" s="20" t="str">
        <f>IF(I77=0,"-",IF(M77="Rozvaha",VLOOKUP(S77,'radky_R'!A:O,8,0),IF(M77="Výsledovka",VLOOKUP(S77,'radky_V'!A:M,8,0),"-")))</f>
        <v>-</v>
      </c>
      <c r="V77" s="20" t="str">
        <f>IF(I77=0,"-",IF(M77="Rozvaha",VLOOKUP(S77,'radky_R'!A:O,9,0),IF(M77="Výsledovka",VLOOKUP(S77,'radky_V'!A:M,9,0),"-")))</f>
        <v>-</v>
      </c>
      <c r="W77" s="104" t="str">
        <f>IF(I77=0,"-",IF(M77="Rozvaha",VLOOKUP(S77,'radky_R'!A:O,15,0),IF(M77="Výsledovka",VLOOKUP(S77,'radky_V'!A:M,11,0),"-")))</f>
        <v>-</v>
      </c>
      <c r="X77" s="5" t="str">
        <f>IF(I77=0,"-",VLOOKUP(K77,ucty_synt!A:S,19,0))</f>
        <v>-</v>
      </c>
      <c r="Y77" s="6">
        <f t="shared" si="14"/>
        <v>0</v>
      </c>
      <c r="Z77" s="650" t="str">
        <f>IF(data[[#This Row],[uc_synt]]="-","-",VLOOKUP(data[[#This Row],[uc_synt]],ucty_synt!A:T,20,0))</f>
        <v>-</v>
      </c>
      <c r="AA77" s="650" t="str">
        <f>IF(COUNTIF(proc_exc!A:A,data[[#This Row],[ucet]])&gt;1,"chyba v proc_exc!",IF(COUNTIF(proc_exc!A:A,data[[#This Row],[ucet]])=1,VLOOKUP(data[[#This Row],[ucet]],proc_exc!A:E,5,0),data[[#This Row],[proces default]]))</f>
        <v>-</v>
      </c>
    </row>
    <row r="78" spans="2:27" x14ac:dyDescent="0.3">
      <c r="B78" s="36"/>
      <c r="C78" s="32"/>
      <c r="J78" s="15" t="str">
        <f t="shared" si="12"/>
        <v xml:space="preserve"> </v>
      </c>
      <c r="K78" s="3" t="str">
        <f>IF(I78=0,"-",VALUE(LEFT(D78,LEN(D78)-(INDEX!$E$13-3))))</f>
        <v>-</v>
      </c>
      <c r="L78" s="5" t="str">
        <f>IF(I78=0,"-",VLOOKUP(K78,ucty_synt!A:B,2,0))</f>
        <v>-</v>
      </c>
      <c r="M78" s="15" t="str">
        <f>IF(S78="-","-",VLOOKUP(K78,ucty_synt!A:S,3,0))</f>
        <v>-</v>
      </c>
      <c r="N78" s="15" t="str">
        <f>IF(I78=0,"-",IF(M78="Rozvaha",VLOOKUP(S78,'radky_R'!A:O,6,0),IF(M78="Výsledovka",VLOOKUP(S78,'radky_V'!A:M,6,0),"-")))</f>
        <v>-</v>
      </c>
      <c r="O78" s="3" t="str">
        <f>IF(I78=0,"-",IF(COUNTIF(ucty_synt!A:A,K78)=0,"účet n/a",IF(VLOOKUP(K78,ucty_synt!A:S,4,0)=RIGHT($P$1,5),"podle AÚ",IF(VLOOKUP(K78,ucty_synt!A:S,4,0)=RIGHT($Q$1,5),"podle SÚ",IF(SUMIF(ucty_synt!A:A,K78,ucty_synt!E:E)&lt;&gt;0,VLOOKUP(K78,ucty_synt!A:T,5,0),"doplnit")))))</f>
        <v>-</v>
      </c>
      <c r="P78" s="3" t="str">
        <f>IF(I78=0,"-",IF(VLOOKUP(K78,ucty_synt!A:S,4,0)=RIGHT($P$1,5),IF(SUMIFS(I:I,C:C,C78,D:D,D78)&gt;=0,VLOOKUP(K78,ucty_synt!A:E,5,0),VLOOKUP(K78,ucty_synt!A:L,12,0)),"-"))</f>
        <v>-</v>
      </c>
      <c r="Q78" s="3" t="str">
        <f>IF(I78=0,"-",IF(VLOOKUP(K78,ucty_synt!A:S,4,0)=RIGHT($Q$1,5),IF(SUMIFS(I:I,C:C,C78,K:K,K78)&gt;=0,VLOOKUP(K78,ucty_synt!A:E,5,0),VLOOKUP(K78,ucty_synt!A:L,12,0)),"-"))</f>
        <v>-</v>
      </c>
      <c r="R78" s="459"/>
      <c r="S78" s="8" t="str">
        <f t="shared" si="13"/>
        <v>-</v>
      </c>
      <c r="T78" s="15" t="str">
        <f>IF(S78="-","-",IF(M78="Rozvaha",VLOOKUP(S78,'radky_R'!A:O,14,0),IF(M78="Výsledovka",VLOOKUP(S78,'radky_V'!A:M,12,0),"-")))</f>
        <v>-</v>
      </c>
      <c r="U78" s="20" t="str">
        <f>IF(I78=0,"-",IF(M78="Rozvaha",VLOOKUP(S78,'radky_R'!A:O,8,0),IF(M78="Výsledovka",VLOOKUP(S78,'radky_V'!A:M,8,0),"-")))</f>
        <v>-</v>
      </c>
      <c r="V78" s="20" t="str">
        <f>IF(I78=0,"-",IF(M78="Rozvaha",VLOOKUP(S78,'radky_R'!A:O,9,0),IF(M78="Výsledovka",VLOOKUP(S78,'radky_V'!A:M,9,0),"-")))</f>
        <v>-</v>
      </c>
      <c r="W78" s="104" t="str">
        <f>IF(I78=0,"-",IF(M78="Rozvaha",VLOOKUP(S78,'radky_R'!A:O,15,0),IF(M78="Výsledovka",VLOOKUP(S78,'radky_V'!A:M,11,0),"-")))</f>
        <v>-</v>
      </c>
      <c r="X78" s="5" t="str">
        <f>IF(I78=0,"-",VLOOKUP(K78,ucty_synt!A:S,19,0))</f>
        <v>-</v>
      </c>
      <c r="Y78" s="6">
        <f t="shared" si="14"/>
        <v>0</v>
      </c>
      <c r="Z78" s="650" t="str">
        <f>IF(data[[#This Row],[uc_synt]]="-","-",VLOOKUP(data[[#This Row],[uc_synt]],ucty_synt!A:T,20,0))</f>
        <v>-</v>
      </c>
      <c r="AA78" s="650" t="str">
        <f>IF(COUNTIF(proc_exc!A:A,data[[#This Row],[ucet]])&gt;1,"chyba v proc_exc!",IF(COUNTIF(proc_exc!A:A,data[[#This Row],[ucet]])=1,VLOOKUP(data[[#This Row],[ucet]],proc_exc!A:E,5,0),data[[#This Row],[proces default]]))</f>
        <v>-</v>
      </c>
    </row>
    <row r="79" spans="2:27" x14ac:dyDescent="0.3">
      <c r="B79" s="36"/>
      <c r="C79" s="32"/>
      <c r="J79" s="15" t="str">
        <f t="shared" si="12"/>
        <v xml:space="preserve"> </v>
      </c>
      <c r="K79" s="3" t="str">
        <f>IF(I79=0,"-",VALUE(LEFT(D79,LEN(D79)-(INDEX!$E$13-3))))</f>
        <v>-</v>
      </c>
      <c r="L79" s="5" t="str">
        <f>IF(I79=0,"-",VLOOKUP(K79,ucty_synt!A:B,2,0))</f>
        <v>-</v>
      </c>
      <c r="M79" s="15" t="str">
        <f>IF(S79="-","-",VLOOKUP(K79,ucty_synt!A:S,3,0))</f>
        <v>-</v>
      </c>
      <c r="N79" s="15" t="str">
        <f>IF(I79=0,"-",IF(M79="Rozvaha",VLOOKUP(S79,'radky_R'!A:O,6,0),IF(M79="Výsledovka",VLOOKUP(S79,'radky_V'!A:M,6,0),"-")))</f>
        <v>-</v>
      </c>
      <c r="O79" s="3" t="str">
        <f>IF(I79=0,"-",IF(COUNTIF(ucty_synt!A:A,K79)=0,"účet n/a",IF(VLOOKUP(K79,ucty_synt!A:S,4,0)=RIGHT($P$1,5),"podle AÚ",IF(VLOOKUP(K79,ucty_synt!A:S,4,0)=RIGHT($Q$1,5),"podle SÚ",IF(SUMIF(ucty_synt!A:A,K79,ucty_synt!E:E)&lt;&gt;0,VLOOKUP(K79,ucty_synt!A:T,5,0),"doplnit")))))</f>
        <v>-</v>
      </c>
      <c r="P79" s="3" t="str">
        <f>IF(I79=0,"-",IF(VLOOKUP(K79,ucty_synt!A:S,4,0)=RIGHT($P$1,5),IF(SUMIFS(I:I,C:C,C79,D:D,D79)&gt;=0,VLOOKUP(K79,ucty_synt!A:E,5,0),VLOOKUP(K79,ucty_synt!A:L,12,0)),"-"))</f>
        <v>-</v>
      </c>
      <c r="Q79" s="3" t="str">
        <f>IF(I79=0,"-",IF(VLOOKUP(K79,ucty_synt!A:S,4,0)=RIGHT($Q$1,5),IF(SUMIFS(I:I,C:C,C79,K:K,K79)&gt;=0,VLOOKUP(K79,ucty_synt!A:E,5,0),VLOOKUP(K79,ucty_synt!A:L,12,0)),"-"))</f>
        <v>-</v>
      </c>
      <c r="R79" s="459"/>
      <c r="S79" s="8" t="str">
        <f t="shared" si="13"/>
        <v>-</v>
      </c>
      <c r="T79" s="15" t="str">
        <f>IF(S79="-","-",IF(M79="Rozvaha",VLOOKUP(S79,'radky_R'!A:O,14,0),IF(M79="Výsledovka",VLOOKUP(S79,'radky_V'!A:M,12,0),"-")))</f>
        <v>-</v>
      </c>
      <c r="U79" s="20" t="str">
        <f>IF(I79=0,"-",IF(M79="Rozvaha",VLOOKUP(S79,'radky_R'!A:O,8,0),IF(M79="Výsledovka",VLOOKUP(S79,'radky_V'!A:M,8,0),"-")))</f>
        <v>-</v>
      </c>
      <c r="V79" s="20" t="str">
        <f>IF(I79=0,"-",IF(M79="Rozvaha",VLOOKUP(S79,'radky_R'!A:O,9,0),IF(M79="Výsledovka",VLOOKUP(S79,'radky_V'!A:M,9,0),"-")))</f>
        <v>-</v>
      </c>
      <c r="W79" s="104" t="str">
        <f>IF(I79=0,"-",IF(M79="Rozvaha",VLOOKUP(S79,'radky_R'!A:O,15,0),IF(M79="Výsledovka",VLOOKUP(S79,'radky_V'!A:M,11,0),"-")))</f>
        <v>-</v>
      </c>
      <c r="X79" s="5" t="str">
        <f>IF(I79=0,"-",VLOOKUP(K79,ucty_synt!A:S,19,0))</f>
        <v>-</v>
      </c>
      <c r="Y79" s="6">
        <f t="shared" si="14"/>
        <v>0</v>
      </c>
      <c r="Z79" s="650" t="str">
        <f>IF(data[[#This Row],[uc_synt]]="-","-",VLOOKUP(data[[#This Row],[uc_synt]],ucty_synt!A:T,20,0))</f>
        <v>-</v>
      </c>
      <c r="AA79" s="650" t="str">
        <f>IF(COUNTIF(proc_exc!A:A,data[[#This Row],[ucet]])&gt;1,"chyba v proc_exc!",IF(COUNTIF(proc_exc!A:A,data[[#This Row],[ucet]])=1,VLOOKUP(data[[#This Row],[ucet]],proc_exc!A:E,5,0),data[[#This Row],[proces default]]))</f>
        <v>-</v>
      </c>
    </row>
    <row r="80" spans="2:27" x14ac:dyDescent="0.3">
      <c r="B80" s="36"/>
      <c r="C80" s="32"/>
      <c r="J80" s="15" t="str">
        <f t="shared" si="12"/>
        <v xml:space="preserve"> </v>
      </c>
      <c r="K80" s="3" t="str">
        <f>IF(I80=0,"-",VALUE(LEFT(D80,LEN(D80)-(INDEX!$E$13-3))))</f>
        <v>-</v>
      </c>
      <c r="L80" s="5" t="str">
        <f>IF(I80=0,"-",VLOOKUP(K80,ucty_synt!A:B,2,0))</f>
        <v>-</v>
      </c>
      <c r="M80" s="15" t="str">
        <f>IF(S80="-","-",VLOOKUP(K80,ucty_synt!A:S,3,0))</f>
        <v>-</v>
      </c>
      <c r="N80" s="15" t="str">
        <f>IF(I80=0,"-",IF(M80="Rozvaha",VLOOKUP(S80,'radky_R'!A:O,6,0),IF(M80="Výsledovka",VLOOKUP(S80,'radky_V'!A:M,6,0),"-")))</f>
        <v>-</v>
      </c>
      <c r="O80" s="3" t="str">
        <f>IF(I80=0,"-",IF(COUNTIF(ucty_synt!A:A,K80)=0,"účet n/a",IF(VLOOKUP(K80,ucty_synt!A:S,4,0)=RIGHT($P$1,5),"podle AÚ",IF(VLOOKUP(K80,ucty_synt!A:S,4,0)=RIGHT($Q$1,5),"podle SÚ",IF(SUMIF(ucty_synt!A:A,K80,ucty_synt!E:E)&lt;&gt;0,VLOOKUP(K80,ucty_synt!A:T,5,0),"doplnit")))))</f>
        <v>-</v>
      </c>
      <c r="P80" s="3" t="str">
        <f>IF(I80=0,"-",IF(VLOOKUP(K80,ucty_synt!A:S,4,0)=RIGHT($P$1,5),IF(SUMIFS(I:I,C:C,C80,D:D,D80)&gt;=0,VLOOKUP(K80,ucty_synt!A:E,5,0),VLOOKUP(K80,ucty_synt!A:L,12,0)),"-"))</f>
        <v>-</v>
      </c>
      <c r="Q80" s="3" t="str">
        <f>IF(I80=0,"-",IF(VLOOKUP(K80,ucty_synt!A:S,4,0)=RIGHT($Q$1,5),IF(SUMIFS(I:I,C:C,C80,K:K,K80)&gt;=0,VLOOKUP(K80,ucty_synt!A:E,5,0),VLOOKUP(K80,ucty_synt!A:L,12,0)),"-"))</f>
        <v>-</v>
      </c>
      <c r="R80" s="459"/>
      <c r="S80" s="8" t="str">
        <f t="shared" si="13"/>
        <v>-</v>
      </c>
      <c r="T80" s="15" t="str">
        <f>IF(S80="-","-",IF(M80="Rozvaha",VLOOKUP(S80,'radky_R'!A:O,14,0),IF(M80="Výsledovka",VLOOKUP(S80,'radky_V'!A:M,12,0),"-")))</f>
        <v>-</v>
      </c>
      <c r="U80" s="20" t="str">
        <f>IF(I80=0,"-",IF(M80="Rozvaha",VLOOKUP(S80,'radky_R'!A:O,8,0),IF(M80="Výsledovka",VLOOKUP(S80,'radky_V'!A:M,8,0),"-")))</f>
        <v>-</v>
      </c>
      <c r="V80" s="20" t="str">
        <f>IF(I80=0,"-",IF(M80="Rozvaha",VLOOKUP(S80,'radky_R'!A:O,9,0),IF(M80="Výsledovka",VLOOKUP(S80,'radky_V'!A:M,9,0),"-")))</f>
        <v>-</v>
      </c>
      <c r="W80" s="104" t="str">
        <f>IF(I80=0,"-",IF(M80="Rozvaha",VLOOKUP(S80,'radky_R'!A:O,15,0),IF(M80="Výsledovka",VLOOKUP(S80,'radky_V'!A:M,11,0),"-")))</f>
        <v>-</v>
      </c>
      <c r="X80" s="5" t="str">
        <f>IF(I80=0,"-",VLOOKUP(K80,ucty_synt!A:S,19,0))</f>
        <v>-</v>
      </c>
      <c r="Y80" s="6">
        <f t="shared" si="14"/>
        <v>0</v>
      </c>
      <c r="Z80" s="650" t="str">
        <f>IF(data[[#This Row],[uc_synt]]="-","-",VLOOKUP(data[[#This Row],[uc_synt]],ucty_synt!A:T,20,0))</f>
        <v>-</v>
      </c>
      <c r="AA80" s="650" t="str">
        <f>IF(COUNTIF(proc_exc!A:A,data[[#This Row],[ucet]])&gt;1,"chyba v proc_exc!",IF(COUNTIF(proc_exc!A:A,data[[#This Row],[ucet]])=1,VLOOKUP(data[[#This Row],[ucet]],proc_exc!A:E,5,0),data[[#This Row],[proces default]]))</f>
        <v>-</v>
      </c>
    </row>
    <row r="81" spans="2:27" x14ac:dyDescent="0.3">
      <c r="B81" s="36"/>
      <c r="C81" s="32"/>
      <c r="J81" s="15" t="str">
        <f t="shared" si="12"/>
        <v xml:space="preserve"> </v>
      </c>
      <c r="K81" s="3" t="str">
        <f>IF(I81=0,"-",VALUE(LEFT(D81,LEN(D81)-(INDEX!$E$13-3))))</f>
        <v>-</v>
      </c>
      <c r="L81" s="5" t="str">
        <f>IF(I81=0,"-",VLOOKUP(K81,ucty_synt!A:B,2,0))</f>
        <v>-</v>
      </c>
      <c r="M81" s="15" t="str">
        <f>IF(S81="-","-",VLOOKUP(K81,ucty_synt!A:S,3,0))</f>
        <v>-</v>
      </c>
      <c r="N81" s="15" t="str">
        <f>IF(I81=0,"-",IF(M81="Rozvaha",VLOOKUP(S81,'radky_R'!A:O,6,0),IF(M81="Výsledovka",VLOOKUP(S81,'radky_V'!A:M,6,0),"-")))</f>
        <v>-</v>
      </c>
      <c r="O81" s="3" t="str">
        <f>IF(I81=0,"-",IF(COUNTIF(ucty_synt!A:A,K81)=0,"účet n/a",IF(VLOOKUP(K81,ucty_synt!A:S,4,0)=RIGHT($P$1,5),"podle AÚ",IF(VLOOKUP(K81,ucty_synt!A:S,4,0)=RIGHT($Q$1,5),"podle SÚ",IF(SUMIF(ucty_synt!A:A,K81,ucty_synt!E:E)&lt;&gt;0,VLOOKUP(K81,ucty_synt!A:T,5,0),"doplnit")))))</f>
        <v>-</v>
      </c>
      <c r="P81" s="3" t="str">
        <f>IF(I81=0,"-",IF(VLOOKUP(K81,ucty_synt!A:S,4,0)=RIGHT($P$1,5),IF(SUMIFS(I:I,C:C,C81,D:D,D81)&gt;=0,VLOOKUP(K81,ucty_synt!A:E,5,0),VLOOKUP(K81,ucty_synt!A:L,12,0)),"-"))</f>
        <v>-</v>
      </c>
      <c r="Q81" s="3" t="str">
        <f>IF(I81=0,"-",IF(VLOOKUP(K81,ucty_synt!A:S,4,0)=RIGHT($Q$1,5),IF(SUMIFS(I:I,C:C,C81,K:K,K81)&gt;=0,VLOOKUP(K81,ucty_synt!A:E,5,0),VLOOKUP(K81,ucty_synt!A:L,12,0)),"-"))</f>
        <v>-</v>
      </c>
      <c r="R81" s="459"/>
      <c r="S81" s="8" t="str">
        <f t="shared" si="13"/>
        <v>-</v>
      </c>
      <c r="T81" s="15" t="str">
        <f>IF(S81="-","-",IF(M81="Rozvaha",VLOOKUP(S81,'radky_R'!A:O,14,0),IF(M81="Výsledovka",VLOOKUP(S81,'radky_V'!A:M,12,0),"-")))</f>
        <v>-</v>
      </c>
      <c r="U81" s="20" t="str">
        <f>IF(I81=0,"-",IF(M81="Rozvaha",VLOOKUP(S81,'radky_R'!A:O,8,0),IF(M81="Výsledovka",VLOOKUP(S81,'radky_V'!A:M,8,0),"-")))</f>
        <v>-</v>
      </c>
      <c r="V81" s="20" t="str">
        <f>IF(I81=0,"-",IF(M81="Rozvaha",VLOOKUP(S81,'radky_R'!A:O,9,0),IF(M81="Výsledovka",VLOOKUP(S81,'radky_V'!A:M,9,0),"-")))</f>
        <v>-</v>
      </c>
      <c r="W81" s="104" t="str">
        <f>IF(I81=0,"-",IF(M81="Rozvaha",VLOOKUP(S81,'radky_R'!A:O,15,0),IF(M81="Výsledovka",VLOOKUP(S81,'radky_V'!A:M,11,0),"-")))</f>
        <v>-</v>
      </c>
      <c r="X81" s="5" t="str">
        <f>IF(I81=0,"-",VLOOKUP(K81,ucty_synt!A:S,19,0))</f>
        <v>-</v>
      </c>
      <c r="Y81" s="6">
        <f t="shared" si="14"/>
        <v>0</v>
      </c>
      <c r="Z81" s="650" t="str">
        <f>IF(data[[#This Row],[uc_synt]]="-","-",VLOOKUP(data[[#This Row],[uc_synt]],ucty_synt!A:T,20,0))</f>
        <v>-</v>
      </c>
      <c r="AA81" s="650" t="str">
        <f>IF(COUNTIF(proc_exc!A:A,data[[#This Row],[ucet]])&gt;1,"chyba v proc_exc!",IF(COUNTIF(proc_exc!A:A,data[[#This Row],[ucet]])=1,VLOOKUP(data[[#This Row],[ucet]],proc_exc!A:E,5,0),data[[#This Row],[proces default]]))</f>
        <v>-</v>
      </c>
    </row>
    <row r="82" spans="2:27" x14ac:dyDescent="0.3">
      <c r="B82" s="36"/>
      <c r="C82" s="32"/>
      <c r="J82" s="15" t="str">
        <f t="shared" si="12"/>
        <v xml:space="preserve"> </v>
      </c>
      <c r="K82" s="3" t="str">
        <f>IF(I82=0,"-",VALUE(LEFT(D82,LEN(D82)-(INDEX!$E$13-3))))</f>
        <v>-</v>
      </c>
      <c r="L82" s="5" t="str">
        <f>IF(I82=0,"-",VLOOKUP(K82,ucty_synt!A:B,2,0))</f>
        <v>-</v>
      </c>
      <c r="M82" s="15" t="str">
        <f>IF(S82="-","-",VLOOKUP(K82,ucty_synt!A:S,3,0))</f>
        <v>-</v>
      </c>
      <c r="N82" s="15" t="str">
        <f>IF(I82=0,"-",IF(M82="Rozvaha",VLOOKUP(S82,'radky_R'!A:O,6,0),IF(M82="Výsledovka",VLOOKUP(S82,'radky_V'!A:M,6,0),"-")))</f>
        <v>-</v>
      </c>
      <c r="O82" s="3" t="str">
        <f>IF(I82=0,"-",IF(COUNTIF(ucty_synt!A:A,K82)=0,"účet n/a",IF(VLOOKUP(K82,ucty_synt!A:S,4,0)=RIGHT($P$1,5),"podle AÚ",IF(VLOOKUP(K82,ucty_synt!A:S,4,0)=RIGHT($Q$1,5),"podle SÚ",IF(SUMIF(ucty_synt!A:A,K82,ucty_synt!E:E)&lt;&gt;0,VLOOKUP(K82,ucty_synt!A:T,5,0),"doplnit")))))</f>
        <v>-</v>
      </c>
      <c r="P82" s="3" t="str">
        <f>IF(I82=0,"-",IF(VLOOKUP(K82,ucty_synt!A:S,4,0)=RIGHT($P$1,5),IF(SUMIFS(I:I,C:C,C82,D:D,D82)&gt;=0,VLOOKUP(K82,ucty_synt!A:E,5,0),VLOOKUP(K82,ucty_synt!A:L,12,0)),"-"))</f>
        <v>-</v>
      </c>
      <c r="Q82" s="3" t="str">
        <f>IF(I82=0,"-",IF(VLOOKUP(K82,ucty_synt!A:S,4,0)=RIGHT($Q$1,5),IF(SUMIFS(I:I,C:C,C82,K:K,K82)&gt;=0,VLOOKUP(K82,ucty_synt!A:E,5,0),VLOOKUP(K82,ucty_synt!A:L,12,0)),"-"))</f>
        <v>-</v>
      </c>
      <c r="R82" s="459"/>
      <c r="S82" s="8" t="str">
        <f t="shared" si="13"/>
        <v>-</v>
      </c>
      <c r="T82" s="15" t="str">
        <f>IF(S82="-","-",IF(M82="Rozvaha",VLOOKUP(S82,'radky_R'!A:O,14,0),IF(M82="Výsledovka",VLOOKUP(S82,'radky_V'!A:M,12,0),"-")))</f>
        <v>-</v>
      </c>
      <c r="U82" s="20" t="str">
        <f>IF(I82=0,"-",IF(M82="Rozvaha",VLOOKUP(S82,'radky_R'!A:O,8,0),IF(M82="Výsledovka",VLOOKUP(S82,'radky_V'!A:M,8,0),"-")))</f>
        <v>-</v>
      </c>
      <c r="V82" s="20" t="str">
        <f>IF(I82=0,"-",IF(M82="Rozvaha",VLOOKUP(S82,'radky_R'!A:O,9,0),IF(M82="Výsledovka",VLOOKUP(S82,'radky_V'!A:M,9,0),"-")))</f>
        <v>-</v>
      </c>
      <c r="W82" s="104" t="str">
        <f>IF(I82=0,"-",IF(M82="Rozvaha",VLOOKUP(S82,'radky_R'!A:O,15,0),IF(M82="Výsledovka",VLOOKUP(S82,'radky_V'!A:M,11,0),"-")))</f>
        <v>-</v>
      </c>
      <c r="X82" s="5" t="str">
        <f>IF(I82=0,"-",VLOOKUP(K82,ucty_synt!A:S,19,0))</f>
        <v>-</v>
      </c>
      <c r="Y82" s="6">
        <f t="shared" si="14"/>
        <v>0</v>
      </c>
      <c r="Z82" s="650" t="str">
        <f>IF(data[[#This Row],[uc_synt]]="-","-",VLOOKUP(data[[#This Row],[uc_synt]],ucty_synt!A:T,20,0))</f>
        <v>-</v>
      </c>
      <c r="AA82" s="650" t="str">
        <f>IF(COUNTIF(proc_exc!A:A,data[[#This Row],[ucet]])&gt;1,"chyba v proc_exc!",IF(COUNTIF(proc_exc!A:A,data[[#This Row],[ucet]])=1,VLOOKUP(data[[#This Row],[ucet]],proc_exc!A:E,5,0),data[[#This Row],[proces default]]))</f>
        <v>-</v>
      </c>
    </row>
    <row r="83" spans="2:27" x14ac:dyDescent="0.3">
      <c r="B83" s="36"/>
      <c r="C83" s="32"/>
      <c r="J83" s="15" t="str">
        <f t="shared" si="12"/>
        <v xml:space="preserve"> </v>
      </c>
      <c r="K83" s="3" t="str">
        <f>IF(I83=0,"-",VALUE(LEFT(D83,LEN(D83)-(INDEX!$E$13-3))))</f>
        <v>-</v>
      </c>
      <c r="L83" s="5" t="str">
        <f>IF(I83=0,"-",VLOOKUP(K83,ucty_synt!A:B,2,0))</f>
        <v>-</v>
      </c>
      <c r="M83" s="15" t="str">
        <f>IF(S83="-","-",VLOOKUP(K83,ucty_synt!A:S,3,0))</f>
        <v>-</v>
      </c>
      <c r="N83" s="15" t="str">
        <f>IF(I83=0,"-",IF(M83="Rozvaha",VLOOKUP(S83,'radky_R'!A:O,6,0),IF(M83="Výsledovka",VLOOKUP(S83,'radky_V'!A:M,6,0),"-")))</f>
        <v>-</v>
      </c>
      <c r="O83" s="3" t="str">
        <f>IF(I83=0,"-",IF(COUNTIF(ucty_synt!A:A,K83)=0,"účet n/a",IF(VLOOKUP(K83,ucty_synt!A:S,4,0)=RIGHT($P$1,5),"podle AÚ",IF(VLOOKUP(K83,ucty_synt!A:S,4,0)=RIGHT($Q$1,5),"podle SÚ",IF(SUMIF(ucty_synt!A:A,K83,ucty_synt!E:E)&lt;&gt;0,VLOOKUP(K83,ucty_synt!A:T,5,0),"doplnit")))))</f>
        <v>-</v>
      </c>
      <c r="P83" s="3" t="str">
        <f>IF(I83=0,"-",IF(VLOOKUP(K83,ucty_synt!A:S,4,0)=RIGHT($P$1,5),IF(SUMIFS(I:I,C:C,C83,D:D,D83)&gt;=0,VLOOKUP(K83,ucty_synt!A:E,5,0),VLOOKUP(K83,ucty_synt!A:L,12,0)),"-"))</f>
        <v>-</v>
      </c>
      <c r="Q83" s="3" t="str">
        <f>IF(I83=0,"-",IF(VLOOKUP(K83,ucty_synt!A:S,4,0)=RIGHT($Q$1,5),IF(SUMIFS(I:I,C:C,C83,K:K,K83)&gt;=0,VLOOKUP(K83,ucty_synt!A:E,5,0),VLOOKUP(K83,ucty_synt!A:L,12,0)),"-"))</f>
        <v>-</v>
      </c>
      <c r="R83" s="459"/>
      <c r="S83" s="8" t="str">
        <f t="shared" si="13"/>
        <v>-</v>
      </c>
      <c r="T83" s="15" t="str">
        <f>IF(S83="-","-",IF(M83="Rozvaha",VLOOKUP(S83,'radky_R'!A:O,14,0),IF(M83="Výsledovka",VLOOKUP(S83,'radky_V'!A:M,12,0),"-")))</f>
        <v>-</v>
      </c>
      <c r="U83" s="20" t="str">
        <f>IF(I83=0,"-",IF(M83="Rozvaha",VLOOKUP(S83,'radky_R'!A:O,8,0),IF(M83="Výsledovka",VLOOKUP(S83,'radky_V'!A:M,8,0),"-")))</f>
        <v>-</v>
      </c>
      <c r="V83" s="20" t="str">
        <f>IF(I83=0,"-",IF(M83="Rozvaha",VLOOKUP(S83,'radky_R'!A:O,9,0),IF(M83="Výsledovka",VLOOKUP(S83,'radky_V'!A:M,9,0),"-")))</f>
        <v>-</v>
      </c>
      <c r="W83" s="104" t="str">
        <f>IF(I83=0,"-",IF(M83="Rozvaha",VLOOKUP(S83,'radky_R'!A:O,15,0),IF(M83="Výsledovka",VLOOKUP(S83,'radky_V'!A:M,11,0),"-")))</f>
        <v>-</v>
      </c>
      <c r="X83" s="5" t="str">
        <f>IF(I83=0,"-",VLOOKUP(K83,ucty_synt!A:S,19,0))</f>
        <v>-</v>
      </c>
      <c r="Y83" s="6">
        <f t="shared" si="14"/>
        <v>0</v>
      </c>
      <c r="Z83" s="650" t="str">
        <f>IF(data[[#This Row],[uc_synt]]="-","-",VLOOKUP(data[[#This Row],[uc_synt]],ucty_synt!A:T,20,0))</f>
        <v>-</v>
      </c>
      <c r="AA83" s="650" t="str">
        <f>IF(COUNTIF(proc_exc!A:A,data[[#This Row],[ucet]])&gt;1,"chyba v proc_exc!",IF(COUNTIF(proc_exc!A:A,data[[#This Row],[ucet]])=1,VLOOKUP(data[[#This Row],[ucet]],proc_exc!A:E,5,0),data[[#This Row],[proces default]]))</f>
        <v>-</v>
      </c>
    </row>
    <row r="84" spans="2:27" x14ac:dyDescent="0.3">
      <c r="B84" s="36"/>
      <c r="C84" s="32"/>
      <c r="J84" s="15" t="str">
        <f t="shared" si="12"/>
        <v xml:space="preserve"> </v>
      </c>
      <c r="K84" s="3" t="str">
        <f>IF(I84=0,"-",VALUE(LEFT(D84,LEN(D84)-(INDEX!$E$13-3))))</f>
        <v>-</v>
      </c>
      <c r="L84" s="5" t="str">
        <f>IF(I84=0,"-",VLOOKUP(K84,ucty_synt!A:B,2,0))</f>
        <v>-</v>
      </c>
      <c r="M84" s="15" t="str">
        <f>IF(S84="-","-",VLOOKUP(K84,ucty_synt!A:S,3,0))</f>
        <v>-</v>
      </c>
      <c r="N84" s="15" t="str">
        <f>IF(I84=0,"-",IF(M84="Rozvaha",VLOOKUP(S84,'radky_R'!A:O,6,0),IF(M84="Výsledovka",VLOOKUP(S84,'radky_V'!A:M,6,0),"-")))</f>
        <v>-</v>
      </c>
      <c r="O84" s="3" t="str">
        <f>IF(I84=0,"-",IF(COUNTIF(ucty_synt!A:A,K84)=0,"účet n/a",IF(VLOOKUP(K84,ucty_synt!A:S,4,0)=RIGHT($P$1,5),"podle AÚ",IF(VLOOKUP(K84,ucty_synt!A:S,4,0)=RIGHT($Q$1,5),"podle SÚ",IF(SUMIF(ucty_synt!A:A,K84,ucty_synt!E:E)&lt;&gt;0,VLOOKUP(K84,ucty_synt!A:T,5,0),"doplnit")))))</f>
        <v>-</v>
      </c>
      <c r="P84" s="3" t="str">
        <f>IF(I84=0,"-",IF(VLOOKUP(K84,ucty_synt!A:S,4,0)=RIGHT($P$1,5),IF(SUMIFS(I:I,C:C,C84,D:D,D84)&gt;=0,VLOOKUP(K84,ucty_synt!A:E,5,0),VLOOKUP(K84,ucty_synt!A:L,12,0)),"-"))</f>
        <v>-</v>
      </c>
      <c r="Q84" s="3" t="str">
        <f>IF(I84=0,"-",IF(VLOOKUP(K84,ucty_synt!A:S,4,0)=RIGHT($Q$1,5),IF(SUMIFS(I:I,C:C,C84,K:K,K84)&gt;=0,VLOOKUP(K84,ucty_synt!A:E,5,0),VLOOKUP(K84,ucty_synt!A:L,12,0)),"-"))</f>
        <v>-</v>
      </c>
      <c r="R84" s="459"/>
      <c r="S84" s="8" t="str">
        <f t="shared" si="13"/>
        <v>-</v>
      </c>
      <c r="T84" s="15" t="str">
        <f>IF(S84="-","-",IF(M84="Rozvaha",VLOOKUP(S84,'radky_R'!A:O,14,0),IF(M84="Výsledovka",VLOOKUP(S84,'radky_V'!A:M,12,0),"-")))</f>
        <v>-</v>
      </c>
      <c r="U84" s="20" t="str">
        <f>IF(I84=0,"-",IF(M84="Rozvaha",VLOOKUP(S84,'radky_R'!A:O,8,0),IF(M84="Výsledovka",VLOOKUP(S84,'radky_V'!A:M,8,0),"-")))</f>
        <v>-</v>
      </c>
      <c r="V84" s="20" t="str">
        <f>IF(I84=0,"-",IF(M84="Rozvaha",VLOOKUP(S84,'radky_R'!A:O,9,0),IF(M84="Výsledovka",VLOOKUP(S84,'radky_V'!A:M,9,0),"-")))</f>
        <v>-</v>
      </c>
      <c r="W84" s="104" t="str">
        <f>IF(I84=0,"-",IF(M84="Rozvaha",VLOOKUP(S84,'radky_R'!A:O,15,0),IF(M84="Výsledovka",VLOOKUP(S84,'radky_V'!A:M,11,0),"-")))</f>
        <v>-</v>
      </c>
      <c r="X84" s="5" t="str">
        <f>IF(I84=0,"-",VLOOKUP(K84,ucty_synt!A:S,19,0))</f>
        <v>-</v>
      </c>
      <c r="Y84" s="6">
        <f t="shared" si="14"/>
        <v>0</v>
      </c>
      <c r="Z84" s="650" t="str">
        <f>IF(data[[#This Row],[uc_synt]]="-","-",VLOOKUP(data[[#This Row],[uc_synt]],ucty_synt!A:T,20,0))</f>
        <v>-</v>
      </c>
      <c r="AA84" s="650" t="str">
        <f>IF(COUNTIF(proc_exc!A:A,data[[#This Row],[ucet]])&gt;1,"chyba v proc_exc!",IF(COUNTIF(proc_exc!A:A,data[[#This Row],[ucet]])=1,VLOOKUP(data[[#This Row],[ucet]],proc_exc!A:E,5,0),data[[#This Row],[proces default]]))</f>
        <v>-</v>
      </c>
    </row>
    <row r="85" spans="2:27" x14ac:dyDescent="0.3">
      <c r="B85" s="36"/>
      <c r="C85" s="32"/>
      <c r="J85" s="15" t="str">
        <f t="shared" si="12"/>
        <v xml:space="preserve"> </v>
      </c>
      <c r="K85" s="3" t="str">
        <f>IF(I85=0,"-",VALUE(LEFT(D85,LEN(D85)-(INDEX!$E$13-3))))</f>
        <v>-</v>
      </c>
      <c r="L85" s="5" t="str">
        <f>IF(I85=0,"-",VLOOKUP(K85,ucty_synt!A:B,2,0))</f>
        <v>-</v>
      </c>
      <c r="M85" s="15" t="str">
        <f>IF(S85="-","-",VLOOKUP(K85,ucty_synt!A:S,3,0))</f>
        <v>-</v>
      </c>
      <c r="N85" s="15" t="str">
        <f>IF(I85=0,"-",IF(M85="Rozvaha",VLOOKUP(S85,'radky_R'!A:O,6,0),IF(M85="Výsledovka",VLOOKUP(S85,'radky_V'!A:M,6,0),"-")))</f>
        <v>-</v>
      </c>
      <c r="O85" s="3" t="str">
        <f>IF(I85=0,"-",IF(COUNTIF(ucty_synt!A:A,K85)=0,"účet n/a",IF(VLOOKUP(K85,ucty_synt!A:S,4,0)=RIGHT($P$1,5),"podle AÚ",IF(VLOOKUP(K85,ucty_synt!A:S,4,0)=RIGHT($Q$1,5),"podle SÚ",IF(SUMIF(ucty_synt!A:A,K85,ucty_synt!E:E)&lt;&gt;0,VLOOKUP(K85,ucty_synt!A:T,5,0),"doplnit")))))</f>
        <v>-</v>
      </c>
      <c r="P85" s="3" t="str">
        <f>IF(I85=0,"-",IF(VLOOKUP(K85,ucty_synt!A:S,4,0)=RIGHT($P$1,5),IF(SUMIFS(I:I,C:C,C85,D:D,D85)&gt;=0,VLOOKUP(K85,ucty_synt!A:E,5,0),VLOOKUP(K85,ucty_synt!A:L,12,0)),"-"))</f>
        <v>-</v>
      </c>
      <c r="Q85" s="3" t="str">
        <f>IF(I85=0,"-",IF(VLOOKUP(K85,ucty_synt!A:S,4,0)=RIGHT($Q$1,5),IF(SUMIFS(I:I,C:C,C85,K:K,K85)&gt;=0,VLOOKUP(K85,ucty_synt!A:E,5,0),VLOOKUP(K85,ucty_synt!A:L,12,0)),"-"))</f>
        <v>-</v>
      </c>
      <c r="R85" s="459"/>
      <c r="S85" s="8" t="str">
        <f t="shared" si="13"/>
        <v>-</v>
      </c>
      <c r="T85" s="15" t="str">
        <f>IF(S85="-","-",IF(M85="Rozvaha",VLOOKUP(S85,'radky_R'!A:O,14,0),IF(M85="Výsledovka",VLOOKUP(S85,'radky_V'!A:M,12,0),"-")))</f>
        <v>-</v>
      </c>
      <c r="U85" s="20" t="str">
        <f>IF(I85=0,"-",IF(M85="Rozvaha",VLOOKUP(S85,'radky_R'!A:O,8,0),IF(M85="Výsledovka",VLOOKUP(S85,'radky_V'!A:M,8,0),"-")))</f>
        <v>-</v>
      </c>
      <c r="V85" s="20" t="str">
        <f>IF(I85=0,"-",IF(M85="Rozvaha",VLOOKUP(S85,'radky_R'!A:O,9,0),IF(M85="Výsledovka",VLOOKUP(S85,'radky_V'!A:M,9,0),"-")))</f>
        <v>-</v>
      </c>
      <c r="W85" s="104" t="str">
        <f>IF(I85=0,"-",IF(M85="Rozvaha",VLOOKUP(S85,'radky_R'!A:O,15,0),IF(M85="Výsledovka",VLOOKUP(S85,'radky_V'!A:M,11,0),"-")))</f>
        <v>-</v>
      </c>
      <c r="X85" s="5" t="str">
        <f>IF(I85=0,"-",VLOOKUP(K85,ucty_synt!A:S,19,0))</f>
        <v>-</v>
      </c>
      <c r="Y85" s="6">
        <f t="shared" si="14"/>
        <v>0</v>
      </c>
      <c r="Z85" s="650" t="str">
        <f>IF(data[[#This Row],[uc_synt]]="-","-",VLOOKUP(data[[#This Row],[uc_synt]],ucty_synt!A:T,20,0))</f>
        <v>-</v>
      </c>
      <c r="AA85" s="650" t="str">
        <f>IF(COUNTIF(proc_exc!A:A,data[[#This Row],[ucet]])&gt;1,"chyba v proc_exc!",IF(COUNTIF(proc_exc!A:A,data[[#This Row],[ucet]])=1,VLOOKUP(data[[#This Row],[ucet]],proc_exc!A:E,5,0),data[[#This Row],[proces default]]))</f>
        <v>-</v>
      </c>
    </row>
    <row r="86" spans="2:27" x14ac:dyDescent="0.3">
      <c r="B86" s="36"/>
      <c r="C86" s="32"/>
      <c r="J86" s="15" t="str">
        <f t="shared" si="12"/>
        <v xml:space="preserve"> </v>
      </c>
      <c r="K86" s="3" t="str">
        <f>IF(I86=0,"-",VALUE(LEFT(D86,LEN(D86)-(INDEX!$E$13-3))))</f>
        <v>-</v>
      </c>
      <c r="L86" s="5" t="str">
        <f>IF(I86=0,"-",VLOOKUP(K86,ucty_synt!A:B,2,0))</f>
        <v>-</v>
      </c>
      <c r="M86" s="15" t="str">
        <f>IF(S86="-","-",VLOOKUP(K86,ucty_synt!A:S,3,0))</f>
        <v>-</v>
      </c>
      <c r="N86" s="15" t="str">
        <f>IF(I86=0,"-",IF(M86="Rozvaha",VLOOKUP(S86,'radky_R'!A:O,6,0),IF(M86="Výsledovka",VLOOKUP(S86,'radky_V'!A:M,6,0),"-")))</f>
        <v>-</v>
      </c>
      <c r="O86" s="3" t="str">
        <f>IF(I86=0,"-",IF(COUNTIF(ucty_synt!A:A,K86)=0,"účet n/a",IF(VLOOKUP(K86,ucty_synt!A:S,4,0)=RIGHT($P$1,5),"podle AÚ",IF(VLOOKUP(K86,ucty_synt!A:S,4,0)=RIGHT($Q$1,5),"podle SÚ",IF(SUMIF(ucty_synt!A:A,K86,ucty_synt!E:E)&lt;&gt;0,VLOOKUP(K86,ucty_synt!A:T,5,0),"doplnit")))))</f>
        <v>-</v>
      </c>
      <c r="P86" s="3" t="str">
        <f>IF(I86=0,"-",IF(VLOOKUP(K86,ucty_synt!A:S,4,0)=RIGHT($P$1,5),IF(SUMIFS(I:I,C:C,C86,D:D,D86)&gt;=0,VLOOKUP(K86,ucty_synt!A:E,5,0),VLOOKUP(K86,ucty_synt!A:L,12,0)),"-"))</f>
        <v>-</v>
      </c>
      <c r="Q86" s="3" t="str">
        <f>IF(I86=0,"-",IF(VLOOKUP(K86,ucty_synt!A:S,4,0)=RIGHT($Q$1,5),IF(SUMIFS(I:I,C:C,C86,K:K,K86)&gt;=0,VLOOKUP(K86,ucty_synt!A:E,5,0),VLOOKUP(K86,ucty_synt!A:L,12,0)),"-"))</f>
        <v>-</v>
      </c>
      <c r="R86" s="459"/>
      <c r="S86" s="8" t="str">
        <f t="shared" si="13"/>
        <v>-</v>
      </c>
      <c r="T86" s="15" t="str">
        <f>IF(S86="-","-",IF(M86="Rozvaha",VLOOKUP(S86,'radky_R'!A:O,14,0),IF(M86="Výsledovka",VLOOKUP(S86,'radky_V'!A:M,12,0),"-")))</f>
        <v>-</v>
      </c>
      <c r="U86" s="20" t="str">
        <f>IF(I86=0,"-",IF(M86="Rozvaha",VLOOKUP(S86,'radky_R'!A:O,8,0),IF(M86="Výsledovka",VLOOKUP(S86,'radky_V'!A:M,8,0),"-")))</f>
        <v>-</v>
      </c>
      <c r="V86" s="20" t="str">
        <f>IF(I86=0,"-",IF(M86="Rozvaha",VLOOKUP(S86,'radky_R'!A:O,9,0),IF(M86="Výsledovka",VLOOKUP(S86,'radky_V'!A:M,9,0),"-")))</f>
        <v>-</v>
      </c>
      <c r="W86" s="104" t="str">
        <f>IF(I86=0,"-",IF(M86="Rozvaha",VLOOKUP(S86,'radky_R'!A:O,15,0),IF(M86="Výsledovka",VLOOKUP(S86,'radky_V'!A:M,11,0),"-")))</f>
        <v>-</v>
      </c>
      <c r="X86" s="5" t="str">
        <f>IF(I86=0,"-",VLOOKUP(K86,ucty_synt!A:S,19,0))</f>
        <v>-</v>
      </c>
      <c r="Y86" s="6">
        <f t="shared" si="14"/>
        <v>0</v>
      </c>
      <c r="Z86" s="650" t="str">
        <f>IF(data[[#This Row],[uc_synt]]="-","-",VLOOKUP(data[[#This Row],[uc_synt]],ucty_synt!A:T,20,0))</f>
        <v>-</v>
      </c>
      <c r="AA86" s="650" t="str">
        <f>IF(COUNTIF(proc_exc!A:A,data[[#This Row],[ucet]])&gt;1,"chyba v proc_exc!",IF(COUNTIF(proc_exc!A:A,data[[#This Row],[ucet]])=1,VLOOKUP(data[[#This Row],[ucet]],proc_exc!A:E,5,0),data[[#This Row],[proces default]]))</f>
        <v>-</v>
      </c>
    </row>
    <row r="87" spans="2:27" x14ac:dyDescent="0.3">
      <c r="B87" s="36"/>
      <c r="C87" s="32"/>
      <c r="J87" s="15" t="str">
        <f t="shared" si="12"/>
        <v xml:space="preserve"> </v>
      </c>
      <c r="K87" s="3" t="str">
        <f>IF(I87=0,"-",VALUE(LEFT(D87,LEN(D87)-(INDEX!$E$13-3))))</f>
        <v>-</v>
      </c>
      <c r="L87" s="5" t="str">
        <f>IF(I87=0,"-",VLOOKUP(K87,ucty_synt!A:B,2,0))</f>
        <v>-</v>
      </c>
      <c r="M87" s="15" t="str">
        <f>IF(S87="-","-",VLOOKUP(K87,ucty_synt!A:S,3,0))</f>
        <v>-</v>
      </c>
      <c r="N87" s="15" t="str">
        <f>IF(I87=0,"-",IF(M87="Rozvaha",VLOOKUP(S87,'radky_R'!A:O,6,0),IF(M87="Výsledovka",VLOOKUP(S87,'radky_V'!A:M,6,0),"-")))</f>
        <v>-</v>
      </c>
      <c r="O87" s="3" t="str">
        <f>IF(I87=0,"-",IF(COUNTIF(ucty_synt!A:A,K87)=0,"účet n/a",IF(VLOOKUP(K87,ucty_synt!A:S,4,0)=RIGHT($P$1,5),"podle AÚ",IF(VLOOKUP(K87,ucty_synt!A:S,4,0)=RIGHT($Q$1,5),"podle SÚ",IF(SUMIF(ucty_synt!A:A,K87,ucty_synt!E:E)&lt;&gt;0,VLOOKUP(K87,ucty_synt!A:T,5,0),"doplnit")))))</f>
        <v>-</v>
      </c>
      <c r="P87" s="3" t="str">
        <f>IF(I87=0,"-",IF(VLOOKUP(K87,ucty_synt!A:S,4,0)=RIGHT($P$1,5),IF(SUMIFS(I:I,C:C,C87,D:D,D87)&gt;=0,VLOOKUP(K87,ucty_synt!A:E,5,0),VLOOKUP(K87,ucty_synt!A:L,12,0)),"-"))</f>
        <v>-</v>
      </c>
      <c r="Q87" s="3" t="str">
        <f>IF(I87=0,"-",IF(VLOOKUP(K87,ucty_synt!A:S,4,0)=RIGHT($Q$1,5),IF(SUMIFS(I:I,C:C,C87,K:K,K87)&gt;=0,VLOOKUP(K87,ucty_synt!A:E,5,0),VLOOKUP(K87,ucty_synt!A:L,12,0)),"-"))</f>
        <v>-</v>
      </c>
      <c r="R87" s="459"/>
      <c r="S87" s="8" t="str">
        <f t="shared" si="13"/>
        <v>-</v>
      </c>
      <c r="T87" s="15" t="str">
        <f>IF(S87="-","-",IF(M87="Rozvaha",VLOOKUP(S87,'radky_R'!A:O,14,0),IF(M87="Výsledovka",VLOOKUP(S87,'radky_V'!A:M,12,0),"-")))</f>
        <v>-</v>
      </c>
      <c r="U87" s="20" t="str">
        <f>IF(I87=0,"-",IF(M87="Rozvaha",VLOOKUP(S87,'radky_R'!A:O,8,0),IF(M87="Výsledovka",VLOOKUP(S87,'radky_V'!A:M,8,0),"-")))</f>
        <v>-</v>
      </c>
      <c r="V87" s="20" t="str">
        <f>IF(I87=0,"-",IF(M87="Rozvaha",VLOOKUP(S87,'radky_R'!A:O,9,0),IF(M87="Výsledovka",VLOOKUP(S87,'radky_V'!A:M,9,0),"-")))</f>
        <v>-</v>
      </c>
      <c r="W87" s="104" t="str">
        <f>IF(I87=0,"-",IF(M87="Rozvaha",VLOOKUP(S87,'radky_R'!A:O,15,0),IF(M87="Výsledovka",VLOOKUP(S87,'radky_V'!A:M,11,0),"-")))</f>
        <v>-</v>
      </c>
      <c r="X87" s="5" t="str">
        <f>IF(I87=0,"-",VLOOKUP(K87,ucty_synt!A:S,19,0))</f>
        <v>-</v>
      </c>
      <c r="Y87" s="6">
        <f t="shared" si="14"/>
        <v>0</v>
      </c>
      <c r="Z87" s="650" t="str">
        <f>IF(data[[#This Row],[uc_synt]]="-","-",VLOOKUP(data[[#This Row],[uc_synt]],ucty_synt!A:T,20,0))</f>
        <v>-</v>
      </c>
      <c r="AA87" s="650" t="str">
        <f>IF(COUNTIF(proc_exc!A:A,data[[#This Row],[ucet]])&gt;1,"chyba v proc_exc!",IF(COUNTIF(proc_exc!A:A,data[[#This Row],[ucet]])=1,VLOOKUP(data[[#This Row],[ucet]],proc_exc!A:E,5,0),data[[#This Row],[proces default]]))</f>
        <v>-</v>
      </c>
    </row>
    <row r="88" spans="2:27" x14ac:dyDescent="0.3">
      <c r="B88" s="36"/>
      <c r="C88" s="32"/>
      <c r="J88" s="15" t="str">
        <f t="shared" si="12"/>
        <v xml:space="preserve"> </v>
      </c>
      <c r="K88" s="3" t="str">
        <f>IF(I88=0,"-",VALUE(LEFT(D88,LEN(D88)-(INDEX!$E$13-3))))</f>
        <v>-</v>
      </c>
      <c r="L88" s="5" t="str">
        <f>IF(I88=0,"-",VLOOKUP(K88,ucty_synt!A:B,2,0))</f>
        <v>-</v>
      </c>
      <c r="M88" s="15" t="str">
        <f>IF(S88="-","-",VLOOKUP(K88,ucty_synt!A:S,3,0))</f>
        <v>-</v>
      </c>
      <c r="N88" s="15" t="str">
        <f>IF(I88=0,"-",IF(M88="Rozvaha",VLOOKUP(S88,'radky_R'!A:O,6,0),IF(M88="Výsledovka",VLOOKUP(S88,'radky_V'!A:M,6,0),"-")))</f>
        <v>-</v>
      </c>
      <c r="O88" s="3" t="str">
        <f>IF(I88=0,"-",IF(COUNTIF(ucty_synt!A:A,K88)=0,"účet n/a",IF(VLOOKUP(K88,ucty_synt!A:S,4,0)=RIGHT($P$1,5),"podle AÚ",IF(VLOOKUP(K88,ucty_synt!A:S,4,0)=RIGHT($Q$1,5),"podle SÚ",IF(SUMIF(ucty_synt!A:A,K88,ucty_synt!E:E)&lt;&gt;0,VLOOKUP(K88,ucty_synt!A:T,5,0),"doplnit")))))</f>
        <v>-</v>
      </c>
      <c r="P88" s="3" t="str">
        <f>IF(I88=0,"-",IF(VLOOKUP(K88,ucty_synt!A:S,4,0)=RIGHT($P$1,5),IF(SUMIFS(I:I,C:C,C88,D:D,D88)&gt;=0,VLOOKUP(K88,ucty_synt!A:E,5,0),VLOOKUP(K88,ucty_synt!A:L,12,0)),"-"))</f>
        <v>-</v>
      </c>
      <c r="Q88" s="3" t="str">
        <f>IF(I88=0,"-",IF(VLOOKUP(K88,ucty_synt!A:S,4,0)=RIGHT($Q$1,5),IF(SUMIFS(I:I,C:C,C88,K:K,K88)&gt;=0,VLOOKUP(K88,ucty_synt!A:E,5,0),VLOOKUP(K88,ucty_synt!A:L,12,0)),"-"))</f>
        <v>-</v>
      </c>
      <c r="R88" s="459"/>
      <c r="S88" s="8" t="str">
        <f t="shared" si="13"/>
        <v>-</v>
      </c>
      <c r="T88" s="15" t="str">
        <f>IF(S88="-","-",IF(M88="Rozvaha",VLOOKUP(S88,'radky_R'!A:O,14,0),IF(M88="Výsledovka",VLOOKUP(S88,'radky_V'!A:M,12,0),"-")))</f>
        <v>-</v>
      </c>
      <c r="U88" s="20" t="str">
        <f>IF(I88=0,"-",IF(M88="Rozvaha",VLOOKUP(S88,'radky_R'!A:O,8,0),IF(M88="Výsledovka",VLOOKUP(S88,'radky_V'!A:M,8,0),"-")))</f>
        <v>-</v>
      </c>
      <c r="V88" s="20" t="str">
        <f>IF(I88=0,"-",IF(M88="Rozvaha",VLOOKUP(S88,'radky_R'!A:O,9,0),IF(M88="Výsledovka",VLOOKUP(S88,'radky_V'!A:M,9,0),"-")))</f>
        <v>-</v>
      </c>
      <c r="W88" s="104" t="str">
        <f>IF(I88=0,"-",IF(M88="Rozvaha",VLOOKUP(S88,'radky_R'!A:O,15,0),IF(M88="Výsledovka",VLOOKUP(S88,'radky_V'!A:M,11,0),"-")))</f>
        <v>-</v>
      </c>
      <c r="X88" s="5" t="str">
        <f>IF(I88=0,"-",VLOOKUP(K88,ucty_synt!A:S,19,0))</f>
        <v>-</v>
      </c>
      <c r="Y88" s="6">
        <f t="shared" si="14"/>
        <v>0</v>
      </c>
      <c r="Z88" s="650" t="str">
        <f>IF(data[[#This Row],[uc_synt]]="-","-",VLOOKUP(data[[#This Row],[uc_synt]],ucty_synt!A:T,20,0))</f>
        <v>-</v>
      </c>
      <c r="AA88" s="650" t="str">
        <f>IF(COUNTIF(proc_exc!A:A,data[[#This Row],[ucet]])&gt;1,"chyba v proc_exc!",IF(COUNTIF(proc_exc!A:A,data[[#This Row],[ucet]])=1,VLOOKUP(data[[#This Row],[ucet]],proc_exc!A:E,5,0),data[[#This Row],[proces default]]))</f>
        <v>-</v>
      </c>
    </row>
    <row r="89" spans="2:27" x14ac:dyDescent="0.3">
      <c r="B89" s="36"/>
      <c r="C89" s="32"/>
      <c r="J89" s="15" t="str">
        <f t="shared" si="12"/>
        <v xml:space="preserve"> </v>
      </c>
      <c r="K89" s="3" t="str">
        <f>IF(I89=0,"-",VALUE(LEFT(D89,LEN(D89)-(INDEX!$E$13-3))))</f>
        <v>-</v>
      </c>
      <c r="L89" s="5" t="str">
        <f>IF(I89=0,"-",VLOOKUP(K89,ucty_synt!A:B,2,0))</f>
        <v>-</v>
      </c>
      <c r="M89" s="15" t="str">
        <f>IF(S89="-","-",VLOOKUP(K89,ucty_synt!A:S,3,0))</f>
        <v>-</v>
      </c>
      <c r="N89" s="15" t="str">
        <f>IF(I89=0,"-",IF(M89="Rozvaha",VLOOKUP(S89,'radky_R'!A:O,6,0),IF(M89="Výsledovka",VLOOKUP(S89,'radky_V'!A:M,6,0),"-")))</f>
        <v>-</v>
      </c>
      <c r="O89" s="3" t="str">
        <f>IF(I89=0,"-",IF(COUNTIF(ucty_synt!A:A,K89)=0,"účet n/a",IF(VLOOKUP(K89,ucty_synt!A:S,4,0)=RIGHT($P$1,5),"podle AÚ",IF(VLOOKUP(K89,ucty_synt!A:S,4,0)=RIGHT($Q$1,5),"podle SÚ",IF(SUMIF(ucty_synt!A:A,K89,ucty_synt!E:E)&lt;&gt;0,VLOOKUP(K89,ucty_synt!A:T,5,0),"doplnit")))))</f>
        <v>-</v>
      </c>
      <c r="P89" s="3" t="str">
        <f>IF(I89=0,"-",IF(VLOOKUP(K89,ucty_synt!A:S,4,0)=RIGHT($P$1,5),IF(SUMIFS(I:I,C:C,C89,D:D,D89)&gt;=0,VLOOKUP(K89,ucty_synt!A:E,5,0),VLOOKUP(K89,ucty_synt!A:L,12,0)),"-"))</f>
        <v>-</v>
      </c>
      <c r="Q89" s="3" t="str">
        <f>IF(I89=0,"-",IF(VLOOKUP(K89,ucty_synt!A:S,4,0)=RIGHT($Q$1,5),IF(SUMIFS(I:I,C:C,C89,K:K,K89)&gt;=0,VLOOKUP(K89,ucty_synt!A:E,5,0),VLOOKUP(K89,ucty_synt!A:L,12,0)),"-"))</f>
        <v>-</v>
      </c>
      <c r="R89" s="459"/>
      <c r="S89" s="8" t="str">
        <f t="shared" si="13"/>
        <v>-</v>
      </c>
      <c r="T89" s="15" t="str">
        <f>IF(S89="-","-",IF(M89="Rozvaha",VLOOKUP(S89,'radky_R'!A:O,14,0),IF(M89="Výsledovka",VLOOKUP(S89,'radky_V'!A:M,12,0),"-")))</f>
        <v>-</v>
      </c>
      <c r="U89" s="20" t="str">
        <f>IF(I89=0,"-",IF(M89="Rozvaha",VLOOKUP(S89,'radky_R'!A:O,8,0),IF(M89="Výsledovka",VLOOKUP(S89,'radky_V'!A:M,8,0),"-")))</f>
        <v>-</v>
      </c>
      <c r="V89" s="20" t="str">
        <f>IF(I89=0,"-",IF(M89="Rozvaha",VLOOKUP(S89,'radky_R'!A:O,9,0),IF(M89="Výsledovka",VLOOKUP(S89,'radky_V'!A:M,9,0),"-")))</f>
        <v>-</v>
      </c>
      <c r="W89" s="104" t="str">
        <f>IF(I89=0,"-",IF(M89="Rozvaha",VLOOKUP(S89,'radky_R'!A:O,15,0),IF(M89="Výsledovka",VLOOKUP(S89,'radky_V'!A:M,11,0),"-")))</f>
        <v>-</v>
      </c>
      <c r="X89" s="5" t="str">
        <f>IF(I89=0,"-",VLOOKUP(K89,ucty_synt!A:S,19,0))</f>
        <v>-</v>
      </c>
      <c r="Y89" s="6">
        <f t="shared" si="14"/>
        <v>0</v>
      </c>
      <c r="Z89" s="650" t="str">
        <f>IF(data[[#This Row],[uc_synt]]="-","-",VLOOKUP(data[[#This Row],[uc_synt]],ucty_synt!A:T,20,0))</f>
        <v>-</v>
      </c>
      <c r="AA89" s="650" t="str">
        <f>IF(COUNTIF(proc_exc!A:A,data[[#This Row],[ucet]])&gt;1,"chyba v proc_exc!",IF(COUNTIF(proc_exc!A:A,data[[#This Row],[ucet]])=1,VLOOKUP(data[[#This Row],[ucet]],proc_exc!A:E,5,0),data[[#This Row],[proces default]]))</f>
        <v>-</v>
      </c>
    </row>
    <row r="90" spans="2:27" x14ac:dyDescent="0.3">
      <c r="B90" s="36"/>
      <c r="C90" s="32"/>
      <c r="J90" s="15" t="str">
        <f t="shared" si="12"/>
        <v xml:space="preserve"> </v>
      </c>
      <c r="K90" s="3" t="str">
        <f>IF(I90=0,"-",VALUE(LEFT(D90,LEN(D90)-(INDEX!$E$13-3))))</f>
        <v>-</v>
      </c>
      <c r="L90" s="5" t="str">
        <f>IF(I90=0,"-",VLOOKUP(K90,ucty_synt!A:B,2,0))</f>
        <v>-</v>
      </c>
      <c r="M90" s="15" t="str">
        <f>IF(S90="-","-",VLOOKUP(K90,ucty_synt!A:S,3,0))</f>
        <v>-</v>
      </c>
      <c r="N90" s="15" t="str">
        <f>IF(I90=0,"-",IF(M90="Rozvaha",VLOOKUP(S90,'radky_R'!A:O,6,0),IF(M90="Výsledovka",VLOOKUP(S90,'radky_V'!A:M,6,0),"-")))</f>
        <v>-</v>
      </c>
      <c r="O90" s="3" t="str">
        <f>IF(I90=0,"-",IF(COUNTIF(ucty_synt!A:A,K90)=0,"účet n/a",IF(VLOOKUP(K90,ucty_synt!A:S,4,0)=RIGHT($P$1,5),"podle AÚ",IF(VLOOKUP(K90,ucty_synt!A:S,4,0)=RIGHT($Q$1,5),"podle SÚ",IF(SUMIF(ucty_synt!A:A,K90,ucty_synt!E:E)&lt;&gt;0,VLOOKUP(K90,ucty_synt!A:T,5,0),"doplnit")))))</f>
        <v>-</v>
      </c>
      <c r="P90" s="3" t="str">
        <f>IF(I90=0,"-",IF(VLOOKUP(K90,ucty_synt!A:S,4,0)=RIGHT($P$1,5),IF(SUMIFS(I:I,C:C,C90,D:D,D90)&gt;=0,VLOOKUP(K90,ucty_synt!A:E,5,0),VLOOKUP(K90,ucty_synt!A:L,12,0)),"-"))</f>
        <v>-</v>
      </c>
      <c r="Q90" s="3" t="str">
        <f>IF(I90=0,"-",IF(VLOOKUP(K90,ucty_synt!A:S,4,0)=RIGHT($Q$1,5),IF(SUMIFS(I:I,C:C,C90,K:K,K90)&gt;=0,VLOOKUP(K90,ucty_synt!A:E,5,0),VLOOKUP(K90,ucty_synt!A:L,12,0)),"-"))</f>
        <v>-</v>
      </c>
      <c r="R90" s="459"/>
      <c r="S90" s="8" t="str">
        <f t="shared" si="13"/>
        <v>-</v>
      </c>
      <c r="T90" s="15" t="str">
        <f>IF(S90="-","-",IF(M90="Rozvaha",VLOOKUP(S90,'radky_R'!A:O,14,0),IF(M90="Výsledovka",VLOOKUP(S90,'radky_V'!A:M,12,0),"-")))</f>
        <v>-</v>
      </c>
      <c r="U90" s="20" t="str">
        <f>IF(I90=0,"-",IF(M90="Rozvaha",VLOOKUP(S90,'radky_R'!A:O,8,0),IF(M90="Výsledovka",VLOOKUP(S90,'radky_V'!A:M,8,0),"-")))</f>
        <v>-</v>
      </c>
      <c r="V90" s="20" t="str">
        <f>IF(I90=0,"-",IF(M90="Rozvaha",VLOOKUP(S90,'radky_R'!A:O,9,0),IF(M90="Výsledovka",VLOOKUP(S90,'radky_V'!A:M,9,0),"-")))</f>
        <v>-</v>
      </c>
      <c r="W90" s="104" t="str">
        <f>IF(I90=0,"-",IF(M90="Rozvaha",VLOOKUP(S90,'radky_R'!A:O,15,0),IF(M90="Výsledovka",VLOOKUP(S90,'radky_V'!A:M,11,0),"-")))</f>
        <v>-</v>
      </c>
      <c r="X90" s="5" t="str">
        <f>IF(I90=0,"-",VLOOKUP(K90,ucty_synt!A:S,19,0))</f>
        <v>-</v>
      </c>
      <c r="Y90" s="6">
        <f t="shared" si="14"/>
        <v>0</v>
      </c>
      <c r="Z90" s="650" t="str">
        <f>IF(data[[#This Row],[uc_synt]]="-","-",VLOOKUP(data[[#This Row],[uc_synt]],ucty_synt!A:T,20,0))</f>
        <v>-</v>
      </c>
      <c r="AA90" s="650" t="str">
        <f>IF(COUNTIF(proc_exc!A:A,data[[#This Row],[ucet]])&gt;1,"chyba v proc_exc!",IF(COUNTIF(proc_exc!A:A,data[[#This Row],[ucet]])=1,VLOOKUP(data[[#This Row],[ucet]],proc_exc!A:E,5,0),data[[#This Row],[proces default]]))</f>
        <v>-</v>
      </c>
    </row>
    <row r="91" spans="2:27" x14ac:dyDescent="0.3">
      <c r="B91" s="36"/>
      <c r="C91" s="32"/>
      <c r="J91" s="15" t="str">
        <f t="shared" si="12"/>
        <v xml:space="preserve"> </v>
      </c>
      <c r="K91" s="3" t="str">
        <f>IF(I91=0,"-",VALUE(LEFT(D91,LEN(D91)-(INDEX!$E$13-3))))</f>
        <v>-</v>
      </c>
      <c r="L91" s="5" t="str">
        <f>IF(I91=0,"-",VLOOKUP(K91,ucty_synt!A:B,2,0))</f>
        <v>-</v>
      </c>
      <c r="M91" s="15" t="str">
        <f>IF(S91="-","-",VLOOKUP(K91,ucty_synt!A:S,3,0))</f>
        <v>-</v>
      </c>
      <c r="N91" s="15" t="str">
        <f>IF(I91=0,"-",IF(M91="Rozvaha",VLOOKUP(S91,'radky_R'!A:O,6,0),IF(M91="Výsledovka",VLOOKUP(S91,'radky_V'!A:M,6,0),"-")))</f>
        <v>-</v>
      </c>
      <c r="O91" s="3" t="str">
        <f>IF(I91=0,"-",IF(COUNTIF(ucty_synt!A:A,K91)=0,"účet n/a",IF(VLOOKUP(K91,ucty_synt!A:S,4,0)=RIGHT($P$1,5),"podle AÚ",IF(VLOOKUP(K91,ucty_synt!A:S,4,0)=RIGHT($Q$1,5),"podle SÚ",IF(SUMIF(ucty_synt!A:A,K91,ucty_synt!E:E)&lt;&gt;0,VLOOKUP(K91,ucty_synt!A:T,5,0),"doplnit")))))</f>
        <v>-</v>
      </c>
      <c r="P91" s="3" t="str">
        <f>IF(I91=0,"-",IF(VLOOKUP(K91,ucty_synt!A:S,4,0)=RIGHT($P$1,5),IF(SUMIFS(I:I,C:C,C91,D:D,D91)&gt;=0,VLOOKUP(K91,ucty_synt!A:E,5,0),VLOOKUP(K91,ucty_synt!A:L,12,0)),"-"))</f>
        <v>-</v>
      </c>
      <c r="Q91" s="3" t="str">
        <f>IF(I91=0,"-",IF(VLOOKUP(K91,ucty_synt!A:S,4,0)=RIGHT($Q$1,5),IF(SUMIFS(I:I,C:C,C91,K:K,K91)&gt;=0,VLOOKUP(K91,ucty_synt!A:E,5,0),VLOOKUP(K91,ucty_synt!A:L,12,0)),"-"))</f>
        <v>-</v>
      </c>
      <c r="R91" s="459"/>
      <c r="S91" s="8" t="str">
        <f t="shared" si="13"/>
        <v>-</v>
      </c>
      <c r="T91" s="15" t="str">
        <f>IF(S91="-","-",IF(M91="Rozvaha",VLOOKUP(S91,'radky_R'!A:O,14,0),IF(M91="Výsledovka",VLOOKUP(S91,'radky_V'!A:M,12,0),"-")))</f>
        <v>-</v>
      </c>
      <c r="U91" s="20" t="str">
        <f>IF(I91=0,"-",IF(M91="Rozvaha",VLOOKUP(S91,'radky_R'!A:O,8,0),IF(M91="Výsledovka",VLOOKUP(S91,'radky_V'!A:M,8,0),"-")))</f>
        <v>-</v>
      </c>
      <c r="V91" s="20" t="str">
        <f>IF(I91=0,"-",IF(M91="Rozvaha",VLOOKUP(S91,'radky_R'!A:O,9,0),IF(M91="Výsledovka",VLOOKUP(S91,'radky_V'!A:M,9,0),"-")))</f>
        <v>-</v>
      </c>
      <c r="W91" s="104" t="str">
        <f>IF(I91=0,"-",IF(M91="Rozvaha",VLOOKUP(S91,'radky_R'!A:O,15,0),IF(M91="Výsledovka",VLOOKUP(S91,'radky_V'!A:M,11,0),"-")))</f>
        <v>-</v>
      </c>
      <c r="X91" s="5" t="str">
        <f>IF(I91=0,"-",VLOOKUP(K91,ucty_synt!A:S,19,0))</f>
        <v>-</v>
      </c>
      <c r="Y91" s="6">
        <f t="shared" si="14"/>
        <v>0</v>
      </c>
      <c r="Z91" s="650" t="str">
        <f>IF(data[[#This Row],[uc_synt]]="-","-",VLOOKUP(data[[#This Row],[uc_synt]],ucty_synt!A:T,20,0))</f>
        <v>-</v>
      </c>
      <c r="AA91" s="650" t="str">
        <f>IF(COUNTIF(proc_exc!A:A,data[[#This Row],[ucet]])&gt;1,"chyba v proc_exc!",IF(COUNTIF(proc_exc!A:A,data[[#This Row],[ucet]])=1,VLOOKUP(data[[#This Row],[ucet]],proc_exc!A:E,5,0),data[[#This Row],[proces default]]))</f>
        <v>-</v>
      </c>
    </row>
    <row r="92" spans="2:27" x14ac:dyDescent="0.3">
      <c r="B92" s="36"/>
      <c r="C92" s="32"/>
      <c r="J92" s="15" t="str">
        <f t="shared" si="12"/>
        <v xml:space="preserve"> </v>
      </c>
      <c r="K92" s="3" t="str">
        <f>IF(I92=0,"-",VALUE(LEFT(D92,LEN(D92)-(INDEX!$E$13-3))))</f>
        <v>-</v>
      </c>
      <c r="L92" s="5" t="str">
        <f>IF(I92=0,"-",VLOOKUP(K92,ucty_synt!A:B,2,0))</f>
        <v>-</v>
      </c>
      <c r="M92" s="15" t="str">
        <f>IF(S92="-","-",VLOOKUP(K92,ucty_synt!A:S,3,0))</f>
        <v>-</v>
      </c>
      <c r="N92" s="15" t="str">
        <f>IF(I92=0,"-",IF(M92="Rozvaha",VLOOKUP(S92,'radky_R'!A:O,6,0),IF(M92="Výsledovka",VLOOKUP(S92,'radky_V'!A:M,6,0),"-")))</f>
        <v>-</v>
      </c>
      <c r="O92" s="3" t="str">
        <f>IF(I92=0,"-",IF(COUNTIF(ucty_synt!A:A,K92)=0,"účet n/a",IF(VLOOKUP(K92,ucty_synt!A:S,4,0)=RIGHT($P$1,5),"podle AÚ",IF(VLOOKUP(K92,ucty_synt!A:S,4,0)=RIGHT($Q$1,5),"podle SÚ",IF(SUMIF(ucty_synt!A:A,K92,ucty_synt!E:E)&lt;&gt;0,VLOOKUP(K92,ucty_synt!A:T,5,0),"doplnit")))))</f>
        <v>-</v>
      </c>
      <c r="P92" s="3" t="str">
        <f>IF(I92=0,"-",IF(VLOOKUP(K92,ucty_synt!A:S,4,0)=RIGHT($P$1,5),IF(SUMIFS(I:I,C:C,C92,D:D,D92)&gt;=0,VLOOKUP(K92,ucty_synt!A:E,5,0),VLOOKUP(K92,ucty_synt!A:L,12,0)),"-"))</f>
        <v>-</v>
      </c>
      <c r="Q92" s="3" t="str">
        <f>IF(I92=0,"-",IF(VLOOKUP(K92,ucty_synt!A:S,4,0)=RIGHT($Q$1,5),IF(SUMIFS(I:I,C:C,C92,K:K,K92)&gt;=0,VLOOKUP(K92,ucty_synt!A:E,5,0),VLOOKUP(K92,ucty_synt!A:L,12,0)),"-"))</f>
        <v>-</v>
      </c>
      <c r="R92" s="459"/>
      <c r="S92" s="8" t="str">
        <f t="shared" si="13"/>
        <v>-</v>
      </c>
      <c r="T92" s="15" t="str">
        <f>IF(S92="-","-",IF(M92="Rozvaha",VLOOKUP(S92,'radky_R'!A:O,14,0),IF(M92="Výsledovka",VLOOKUP(S92,'radky_V'!A:M,12,0),"-")))</f>
        <v>-</v>
      </c>
      <c r="U92" s="20" t="str">
        <f>IF(I92=0,"-",IF(M92="Rozvaha",VLOOKUP(S92,'radky_R'!A:O,8,0),IF(M92="Výsledovka",VLOOKUP(S92,'radky_V'!A:M,8,0),"-")))</f>
        <v>-</v>
      </c>
      <c r="V92" s="20" t="str">
        <f>IF(I92=0,"-",IF(M92="Rozvaha",VLOOKUP(S92,'radky_R'!A:O,9,0),IF(M92="Výsledovka",VLOOKUP(S92,'radky_V'!A:M,9,0),"-")))</f>
        <v>-</v>
      </c>
      <c r="W92" s="104" t="str">
        <f>IF(I92=0,"-",IF(M92="Rozvaha",VLOOKUP(S92,'radky_R'!A:O,15,0),IF(M92="Výsledovka",VLOOKUP(S92,'radky_V'!A:M,11,0),"-")))</f>
        <v>-</v>
      </c>
      <c r="X92" s="5" t="str">
        <f>IF(I92=0,"-",VLOOKUP(K92,ucty_synt!A:S,19,0))</f>
        <v>-</v>
      </c>
      <c r="Y92" s="6">
        <f t="shared" si="14"/>
        <v>0</v>
      </c>
      <c r="Z92" s="650" t="str">
        <f>IF(data[[#This Row],[uc_synt]]="-","-",VLOOKUP(data[[#This Row],[uc_synt]],ucty_synt!A:T,20,0))</f>
        <v>-</v>
      </c>
      <c r="AA92" s="650" t="str">
        <f>IF(COUNTIF(proc_exc!A:A,data[[#This Row],[ucet]])&gt;1,"chyba v proc_exc!",IF(COUNTIF(proc_exc!A:A,data[[#This Row],[ucet]])=1,VLOOKUP(data[[#This Row],[ucet]],proc_exc!A:E,5,0),data[[#This Row],[proces default]]))</f>
        <v>-</v>
      </c>
    </row>
    <row r="93" spans="2:27" x14ac:dyDescent="0.3">
      <c r="B93" s="36"/>
      <c r="C93" s="32"/>
      <c r="J93" s="15" t="str">
        <f t="shared" si="12"/>
        <v xml:space="preserve"> </v>
      </c>
      <c r="K93" s="3" t="str">
        <f>IF(I93=0,"-",VALUE(LEFT(D93,LEN(D93)-(INDEX!$E$13-3))))</f>
        <v>-</v>
      </c>
      <c r="L93" s="5" t="str">
        <f>IF(I93=0,"-",VLOOKUP(K93,ucty_synt!A:B,2,0))</f>
        <v>-</v>
      </c>
      <c r="M93" s="15" t="str">
        <f>IF(S93="-","-",VLOOKUP(K93,ucty_synt!A:S,3,0))</f>
        <v>-</v>
      </c>
      <c r="N93" s="15" t="str">
        <f>IF(I93=0,"-",IF(M93="Rozvaha",VLOOKUP(S93,'radky_R'!A:O,6,0),IF(M93="Výsledovka",VLOOKUP(S93,'radky_V'!A:M,6,0),"-")))</f>
        <v>-</v>
      </c>
      <c r="O93" s="3" t="str">
        <f>IF(I93=0,"-",IF(COUNTIF(ucty_synt!A:A,K93)=0,"účet n/a",IF(VLOOKUP(K93,ucty_synt!A:S,4,0)=RIGHT($P$1,5),"podle AÚ",IF(VLOOKUP(K93,ucty_synt!A:S,4,0)=RIGHT($Q$1,5),"podle SÚ",IF(SUMIF(ucty_synt!A:A,K93,ucty_synt!E:E)&lt;&gt;0,VLOOKUP(K93,ucty_synt!A:T,5,0),"doplnit")))))</f>
        <v>-</v>
      </c>
      <c r="P93" s="3" t="str">
        <f>IF(I93=0,"-",IF(VLOOKUP(K93,ucty_synt!A:S,4,0)=RIGHT($P$1,5),IF(SUMIFS(I:I,C:C,C93,D:D,D93)&gt;=0,VLOOKUP(K93,ucty_synt!A:E,5,0),VLOOKUP(K93,ucty_synt!A:L,12,0)),"-"))</f>
        <v>-</v>
      </c>
      <c r="Q93" s="3" t="str">
        <f>IF(I93=0,"-",IF(VLOOKUP(K93,ucty_synt!A:S,4,0)=RIGHT($Q$1,5),IF(SUMIFS(I:I,C:C,C93,K:K,K93)&gt;=0,VLOOKUP(K93,ucty_synt!A:E,5,0),VLOOKUP(K93,ucty_synt!A:L,12,0)),"-"))</f>
        <v>-</v>
      </c>
      <c r="R93" s="459"/>
      <c r="S93" s="8" t="str">
        <f t="shared" si="13"/>
        <v>-</v>
      </c>
      <c r="T93" s="15" t="str">
        <f>IF(S93="-","-",IF(M93="Rozvaha",VLOOKUP(S93,'radky_R'!A:O,14,0),IF(M93="Výsledovka",VLOOKUP(S93,'radky_V'!A:M,12,0),"-")))</f>
        <v>-</v>
      </c>
      <c r="U93" s="20" t="str">
        <f>IF(I93=0,"-",IF(M93="Rozvaha",VLOOKUP(S93,'radky_R'!A:O,8,0),IF(M93="Výsledovka",VLOOKUP(S93,'radky_V'!A:M,8,0),"-")))</f>
        <v>-</v>
      </c>
      <c r="V93" s="20" t="str">
        <f>IF(I93=0,"-",IF(M93="Rozvaha",VLOOKUP(S93,'radky_R'!A:O,9,0),IF(M93="Výsledovka",VLOOKUP(S93,'radky_V'!A:M,9,0),"-")))</f>
        <v>-</v>
      </c>
      <c r="W93" s="104" t="str">
        <f>IF(I93=0,"-",IF(M93="Rozvaha",VLOOKUP(S93,'radky_R'!A:O,15,0),IF(M93="Výsledovka",VLOOKUP(S93,'radky_V'!A:M,11,0),"-")))</f>
        <v>-</v>
      </c>
      <c r="X93" s="5" t="str">
        <f>IF(I93=0,"-",VLOOKUP(K93,ucty_synt!A:S,19,0))</f>
        <v>-</v>
      </c>
      <c r="Y93" s="6">
        <f t="shared" si="14"/>
        <v>0</v>
      </c>
      <c r="Z93" s="650" t="str">
        <f>IF(data[[#This Row],[uc_synt]]="-","-",VLOOKUP(data[[#This Row],[uc_synt]],ucty_synt!A:T,20,0))</f>
        <v>-</v>
      </c>
      <c r="AA93" s="650" t="str">
        <f>IF(COUNTIF(proc_exc!A:A,data[[#This Row],[ucet]])&gt;1,"chyba v proc_exc!",IF(COUNTIF(proc_exc!A:A,data[[#This Row],[ucet]])=1,VLOOKUP(data[[#This Row],[ucet]],proc_exc!A:E,5,0),data[[#This Row],[proces default]]))</f>
        <v>-</v>
      </c>
    </row>
    <row r="94" spans="2:27" x14ac:dyDescent="0.3">
      <c r="B94" s="36"/>
      <c r="C94" s="32"/>
      <c r="J94" s="15" t="str">
        <f t="shared" si="12"/>
        <v xml:space="preserve"> </v>
      </c>
      <c r="K94" s="3" t="str">
        <f>IF(I94=0,"-",VALUE(LEFT(D94,LEN(D94)-(INDEX!$E$13-3))))</f>
        <v>-</v>
      </c>
      <c r="L94" s="5" t="str">
        <f>IF(I94=0,"-",VLOOKUP(K94,ucty_synt!A:B,2,0))</f>
        <v>-</v>
      </c>
      <c r="M94" s="15" t="str">
        <f>IF(S94="-","-",VLOOKUP(K94,ucty_synt!A:S,3,0))</f>
        <v>-</v>
      </c>
      <c r="N94" s="15" t="str">
        <f>IF(I94=0,"-",IF(M94="Rozvaha",VLOOKUP(S94,'radky_R'!A:O,6,0),IF(M94="Výsledovka",VLOOKUP(S94,'radky_V'!A:M,6,0),"-")))</f>
        <v>-</v>
      </c>
      <c r="O94" s="3" t="str">
        <f>IF(I94=0,"-",IF(COUNTIF(ucty_synt!A:A,K94)=0,"účet n/a",IF(VLOOKUP(K94,ucty_synt!A:S,4,0)=RIGHT($P$1,5),"podle AÚ",IF(VLOOKUP(K94,ucty_synt!A:S,4,0)=RIGHT($Q$1,5),"podle SÚ",IF(SUMIF(ucty_synt!A:A,K94,ucty_synt!E:E)&lt;&gt;0,VLOOKUP(K94,ucty_synt!A:T,5,0),"doplnit")))))</f>
        <v>-</v>
      </c>
      <c r="P94" s="3" t="str">
        <f>IF(I94=0,"-",IF(VLOOKUP(K94,ucty_synt!A:S,4,0)=RIGHT($P$1,5),IF(SUMIFS(I:I,C:C,C94,D:D,D94)&gt;=0,VLOOKUP(K94,ucty_synt!A:E,5,0),VLOOKUP(K94,ucty_synt!A:L,12,0)),"-"))</f>
        <v>-</v>
      </c>
      <c r="Q94" s="3" t="str">
        <f>IF(I94=0,"-",IF(VLOOKUP(K94,ucty_synt!A:S,4,0)=RIGHT($Q$1,5),IF(SUMIFS(I:I,C:C,C94,K:K,K94)&gt;=0,VLOOKUP(K94,ucty_synt!A:E,5,0),VLOOKUP(K94,ucty_synt!A:L,12,0)),"-"))</f>
        <v>-</v>
      </c>
      <c r="R94" s="459"/>
      <c r="S94" s="8" t="str">
        <f t="shared" si="13"/>
        <v>-</v>
      </c>
      <c r="T94" s="15" t="str">
        <f>IF(S94="-","-",IF(M94="Rozvaha",VLOOKUP(S94,'radky_R'!A:O,14,0),IF(M94="Výsledovka",VLOOKUP(S94,'radky_V'!A:M,12,0),"-")))</f>
        <v>-</v>
      </c>
      <c r="U94" s="20" t="str">
        <f>IF(I94=0,"-",IF(M94="Rozvaha",VLOOKUP(S94,'radky_R'!A:O,8,0),IF(M94="Výsledovka",VLOOKUP(S94,'radky_V'!A:M,8,0),"-")))</f>
        <v>-</v>
      </c>
      <c r="V94" s="20" t="str">
        <f>IF(I94=0,"-",IF(M94="Rozvaha",VLOOKUP(S94,'radky_R'!A:O,9,0),IF(M94="Výsledovka",VLOOKUP(S94,'radky_V'!A:M,9,0),"-")))</f>
        <v>-</v>
      </c>
      <c r="W94" s="104" t="str">
        <f>IF(I94=0,"-",IF(M94="Rozvaha",VLOOKUP(S94,'radky_R'!A:O,15,0),IF(M94="Výsledovka",VLOOKUP(S94,'radky_V'!A:M,11,0),"-")))</f>
        <v>-</v>
      </c>
      <c r="X94" s="5" t="str">
        <f>IF(I94=0,"-",VLOOKUP(K94,ucty_synt!A:S,19,0))</f>
        <v>-</v>
      </c>
      <c r="Y94" s="6">
        <f t="shared" si="14"/>
        <v>0</v>
      </c>
      <c r="Z94" s="650" t="str">
        <f>IF(data[[#This Row],[uc_synt]]="-","-",VLOOKUP(data[[#This Row],[uc_synt]],ucty_synt!A:T,20,0))</f>
        <v>-</v>
      </c>
      <c r="AA94" s="650" t="str">
        <f>IF(COUNTIF(proc_exc!A:A,data[[#This Row],[ucet]])&gt;1,"chyba v proc_exc!",IF(COUNTIF(proc_exc!A:A,data[[#This Row],[ucet]])=1,VLOOKUP(data[[#This Row],[ucet]],proc_exc!A:E,5,0),data[[#This Row],[proces default]]))</f>
        <v>-</v>
      </c>
    </row>
    <row r="95" spans="2:27" x14ac:dyDescent="0.3">
      <c r="B95" s="36"/>
      <c r="C95" s="32"/>
      <c r="J95" s="15" t="str">
        <f t="shared" si="12"/>
        <v xml:space="preserve"> </v>
      </c>
      <c r="K95" s="3" t="str">
        <f>IF(I95=0,"-",VALUE(LEFT(D95,LEN(D95)-(INDEX!$E$13-3))))</f>
        <v>-</v>
      </c>
      <c r="L95" s="5" t="str">
        <f>IF(I95=0,"-",VLOOKUP(K95,ucty_synt!A:B,2,0))</f>
        <v>-</v>
      </c>
      <c r="M95" s="15" t="str">
        <f>IF(S95="-","-",VLOOKUP(K95,ucty_synt!A:S,3,0))</f>
        <v>-</v>
      </c>
      <c r="N95" s="15" t="str">
        <f>IF(I95=0,"-",IF(M95="Rozvaha",VLOOKUP(S95,'radky_R'!A:O,6,0),IF(M95="Výsledovka",VLOOKUP(S95,'radky_V'!A:M,6,0),"-")))</f>
        <v>-</v>
      </c>
      <c r="O95" s="3" t="str">
        <f>IF(I95=0,"-",IF(COUNTIF(ucty_synt!A:A,K95)=0,"účet n/a",IF(VLOOKUP(K95,ucty_synt!A:S,4,0)=RIGHT($P$1,5),"podle AÚ",IF(VLOOKUP(K95,ucty_synt!A:S,4,0)=RIGHT($Q$1,5),"podle SÚ",IF(SUMIF(ucty_synt!A:A,K95,ucty_synt!E:E)&lt;&gt;0,VLOOKUP(K95,ucty_synt!A:T,5,0),"doplnit")))))</f>
        <v>-</v>
      </c>
      <c r="P95" s="3" t="str">
        <f>IF(I95=0,"-",IF(VLOOKUP(K95,ucty_synt!A:S,4,0)=RIGHT($P$1,5),IF(SUMIFS(I:I,C:C,C95,D:D,D95)&gt;=0,VLOOKUP(K95,ucty_synt!A:E,5,0),VLOOKUP(K95,ucty_synt!A:L,12,0)),"-"))</f>
        <v>-</v>
      </c>
      <c r="Q95" s="3" t="str">
        <f>IF(I95=0,"-",IF(VLOOKUP(K95,ucty_synt!A:S,4,0)=RIGHT($Q$1,5),IF(SUMIFS(I:I,C:C,C95,K:K,K95)&gt;=0,VLOOKUP(K95,ucty_synt!A:E,5,0),VLOOKUP(K95,ucty_synt!A:L,12,0)),"-"))</f>
        <v>-</v>
      </c>
      <c r="R95" s="459"/>
      <c r="S95" s="8" t="str">
        <f t="shared" si="13"/>
        <v>-</v>
      </c>
      <c r="T95" s="15" t="str">
        <f>IF(S95="-","-",IF(M95="Rozvaha",VLOOKUP(S95,'radky_R'!A:O,14,0),IF(M95="Výsledovka",VLOOKUP(S95,'radky_V'!A:M,12,0),"-")))</f>
        <v>-</v>
      </c>
      <c r="U95" s="20" t="str">
        <f>IF(I95=0,"-",IF(M95="Rozvaha",VLOOKUP(S95,'radky_R'!A:O,8,0),IF(M95="Výsledovka",VLOOKUP(S95,'radky_V'!A:M,8,0),"-")))</f>
        <v>-</v>
      </c>
      <c r="V95" s="20" t="str">
        <f>IF(I95=0,"-",IF(M95="Rozvaha",VLOOKUP(S95,'radky_R'!A:O,9,0),IF(M95="Výsledovka",VLOOKUP(S95,'radky_V'!A:M,9,0),"-")))</f>
        <v>-</v>
      </c>
      <c r="W95" s="104" t="str">
        <f>IF(I95=0,"-",IF(M95="Rozvaha",VLOOKUP(S95,'radky_R'!A:O,15,0),IF(M95="Výsledovka",VLOOKUP(S95,'radky_V'!A:M,11,0),"-")))</f>
        <v>-</v>
      </c>
      <c r="X95" s="5" t="str">
        <f>IF(I95=0,"-",VLOOKUP(K95,ucty_synt!A:S,19,0))</f>
        <v>-</v>
      </c>
      <c r="Y95" s="6">
        <f t="shared" si="14"/>
        <v>0</v>
      </c>
      <c r="Z95" s="650" t="str">
        <f>IF(data[[#This Row],[uc_synt]]="-","-",VLOOKUP(data[[#This Row],[uc_synt]],ucty_synt!A:T,20,0))</f>
        <v>-</v>
      </c>
      <c r="AA95" s="650" t="str">
        <f>IF(COUNTIF(proc_exc!A:A,data[[#This Row],[ucet]])&gt;1,"chyba v proc_exc!",IF(COUNTIF(proc_exc!A:A,data[[#This Row],[ucet]])=1,VLOOKUP(data[[#This Row],[ucet]],proc_exc!A:E,5,0),data[[#This Row],[proces default]]))</f>
        <v>-</v>
      </c>
    </row>
    <row r="96" spans="2:27" x14ac:dyDescent="0.3">
      <c r="B96" s="36"/>
      <c r="C96" s="32"/>
      <c r="J96" s="15" t="str">
        <f t="shared" si="12"/>
        <v xml:space="preserve"> </v>
      </c>
      <c r="K96" s="3" t="str">
        <f>IF(I96=0,"-",VALUE(LEFT(D96,LEN(D96)-(INDEX!$E$13-3))))</f>
        <v>-</v>
      </c>
      <c r="L96" s="5" t="str">
        <f>IF(I96=0,"-",VLOOKUP(K96,ucty_synt!A:B,2,0))</f>
        <v>-</v>
      </c>
      <c r="M96" s="15" t="str">
        <f>IF(S96="-","-",VLOOKUP(K96,ucty_synt!A:S,3,0))</f>
        <v>-</v>
      </c>
      <c r="N96" s="15" t="str">
        <f>IF(I96=0,"-",IF(M96="Rozvaha",VLOOKUP(S96,'radky_R'!A:O,6,0),IF(M96="Výsledovka",VLOOKUP(S96,'radky_V'!A:M,6,0),"-")))</f>
        <v>-</v>
      </c>
      <c r="O96" s="3" t="str">
        <f>IF(I96=0,"-",IF(COUNTIF(ucty_synt!A:A,K96)=0,"účet n/a",IF(VLOOKUP(K96,ucty_synt!A:S,4,0)=RIGHT($P$1,5),"podle AÚ",IF(VLOOKUP(K96,ucty_synt!A:S,4,0)=RIGHT($Q$1,5),"podle SÚ",IF(SUMIF(ucty_synt!A:A,K96,ucty_synt!E:E)&lt;&gt;0,VLOOKUP(K96,ucty_synt!A:T,5,0),"doplnit")))))</f>
        <v>-</v>
      </c>
      <c r="P96" s="3" t="str">
        <f>IF(I96=0,"-",IF(VLOOKUP(K96,ucty_synt!A:S,4,0)=RIGHT($P$1,5),IF(SUMIFS(I:I,C:C,C96,D:D,D96)&gt;=0,VLOOKUP(K96,ucty_synt!A:E,5,0),VLOOKUP(K96,ucty_synt!A:L,12,0)),"-"))</f>
        <v>-</v>
      </c>
      <c r="Q96" s="3" t="str">
        <f>IF(I96=0,"-",IF(VLOOKUP(K96,ucty_synt!A:S,4,0)=RIGHT($Q$1,5),IF(SUMIFS(I:I,C:C,C96,K:K,K96)&gt;=0,VLOOKUP(K96,ucty_synt!A:E,5,0),VLOOKUP(K96,ucty_synt!A:L,12,0)),"-"))</f>
        <v>-</v>
      </c>
      <c r="R96" s="459"/>
      <c r="S96" s="8" t="str">
        <f t="shared" si="13"/>
        <v>-</v>
      </c>
      <c r="T96" s="15" t="str">
        <f>IF(S96="-","-",IF(M96="Rozvaha",VLOOKUP(S96,'radky_R'!A:O,14,0),IF(M96="Výsledovka",VLOOKUP(S96,'radky_V'!A:M,12,0),"-")))</f>
        <v>-</v>
      </c>
      <c r="U96" s="20" t="str">
        <f>IF(I96=0,"-",IF(M96="Rozvaha",VLOOKUP(S96,'radky_R'!A:O,8,0),IF(M96="Výsledovka",VLOOKUP(S96,'radky_V'!A:M,8,0),"-")))</f>
        <v>-</v>
      </c>
      <c r="V96" s="20" t="str">
        <f>IF(I96=0,"-",IF(M96="Rozvaha",VLOOKUP(S96,'radky_R'!A:O,9,0),IF(M96="Výsledovka",VLOOKUP(S96,'radky_V'!A:M,9,0),"-")))</f>
        <v>-</v>
      </c>
      <c r="W96" s="104" t="str">
        <f>IF(I96=0,"-",IF(M96="Rozvaha",VLOOKUP(S96,'radky_R'!A:O,15,0),IF(M96="Výsledovka",VLOOKUP(S96,'radky_V'!A:M,11,0),"-")))</f>
        <v>-</v>
      </c>
      <c r="X96" s="5" t="str">
        <f>IF(I96=0,"-",VLOOKUP(K96,ucty_synt!A:S,19,0))</f>
        <v>-</v>
      </c>
      <c r="Y96" s="6">
        <f t="shared" si="14"/>
        <v>0</v>
      </c>
      <c r="Z96" s="650" t="str">
        <f>IF(data[[#This Row],[uc_synt]]="-","-",VLOOKUP(data[[#This Row],[uc_synt]],ucty_synt!A:T,20,0))</f>
        <v>-</v>
      </c>
      <c r="AA96" s="650" t="str">
        <f>IF(COUNTIF(proc_exc!A:A,data[[#This Row],[ucet]])&gt;1,"chyba v proc_exc!",IF(COUNTIF(proc_exc!A:A,data[[#This Row],[ucet]])=1,VLOOKUP(data[[#This Row],[ucet]],proc_exc!A:E,5,0),data[[#This Row],[proces default]]))</f>
        <v>-</v>
      </c>
    </row>
    <row r="97" spans="2:27" x14ac:dyDescent="0.3">
      <c r="B97" s="36"/>
      <c r="C97" s="32"/>
      <c r="J97" s="15" t="str">
        <f t="shared" si="12"/>
        <v xml:space="preserve"> </v>
      </c>
      <c r="K97" s="3" t="str">
        <f>IF(I97=0,"-",VALUE(LEFT(D97,LEN(D97)-(INDEX!$E$13-3))))</f>
        <v>-</v>
      </c>
      <c r="L97" s="5" t="str">
        <f>IF(I97=0,"-",VLOOKUP(K97,ucty_synt!A:B,2,0))</f>
        <v>-</v>
      </c>
      <c r="M97" s="15" t="str">
        <f>IF(S97="-","-",VLOOKUP(K97,ucty_synt!A:S,3,0))</f>
        <v>-</v>
      </c>
      <c r="N97" s="15" t="str">
        <f>IF(I97=0,"-",IF(M97="Rozvaha",VLOOKUP(S97,'radky_R'!A:O,6,0),IF(M97="Výsledovka",VLOOKUP(S97,'radky_V'!A:M,6,0),"-")))</f>
        <v>-</v>
      </c>
      <c r="O97" s="3" t="str">
        <f>IF(I97=0,"-",IF(COUNTIF(ucty_synt!A:A,K97)=0,"účet n/a",IF(VLOOKUP(K97,ucty_synt!A:S,4,0)=RIGHT($P$1,5),"podle AÚ",IF(VLOOKUP(K97,ucty_synt!A:S,4,0)=RIGHT($Q$1,5),"podle SÚ",IF(SUMIF(ucty_synt!A:A,K97,ucty_synt!E:E)&lt;&gt;0,VLOOKUP(K97,ucty_synt!A:T,5,0),"doplnit")))))</f>
        <v>-</v>
      </c>
      <c r="P97" s="3" t="str">
        <f>IF(I97=0,"-",IF(VLOOKUP(K97,ucty_synt!A:S,4,0)=RIGHT($P$1,5),IF(SUMIFS(I:I,C:C,C97,D:D,D97)&gt;=0,VLOOKUP(K97,ucty_synt!A:E,5,0),VLOOKUP(K97,ucty_synt!A:L,12,0)),"-"))</f>
        <v>-</v>
      </c>
      <c r="Q97" s="3" t="str">
        <f>IF(I97=0,"-",IF(VLOOKUP(K97,ucty_synt!A:S,4,0)=RIGHT($Q$1,5),IF(SUMIFS(I:I,C:C,C97,K:K,K97)&gt;=0,VLOOKUP(K97,ucty_synt!A:E,5,0),VLOOKUP(K97,ucty_synt!A:L,12,0)),"-"))</f>
        <v>-</v>
      </c>
      <c r="R97" s="459"/>
      <c r="S97" s="8" t="str">
        <f t="shared" si="13"/>
        <v>-</v>
      </c>
      <c r="T97" s="15" t="str">
        <f>IF(S97="-","-",IF(M97="Rozvaha",VLOOKUP(S97,'radky_R'!A:O,14,0),IF(M97="Výsledovka",VLOOKUP(S97,'radky_V'!A:M,12,0),"-")))</f>
        <v>-</v>
      </c>
      <c r="U97" s="20" t="str">
        <f>IF(I97=0,"-",IF(M97="Rozvaha",VLOOKUP(S97,'radky_R'!A:O,8,0),IF(M97="Výsledovka",VLOOKUP(S97,'radky_V'!A:M,8,0),"-")))</f>
        <v>-</v>
      </c>
      <c r="V97" s="20" t="str">
        <f>IF(I97=0,"-",IF(M97="Rozvaha",VLOOKUP(S97,'radky_R'!A:O,9,0),IF(M97="Výsledovka",VLOOKUP(S97,'radky_V'!A:M,9,0),"-")))</f>
        <v>-</v>
      </c>
      <c r="W97" s="104" t="str">
        <f>IF(I97=0,"-",IF(M97="Rozvaha",VLOOKUP(S97,'radky_R'!A:O,15,0),IF(M97="Výsledovka",VLOOKUP(S97,'radky_V'!A:M,11,0),"-")))</f>
        <v>-</v>
      </c>
      <c r="X97" s="5" t="str">
        <f>IF(I97=0,"-",VLOOKUP(K97,ucty_synt!A:S,19,0))</f>
        <v>-</v>
      </c>
      <c r="Y97" s="6">
        <f t="shared" si="14"/>
        <v>0</v>
      </c>
      <c r="Z97" s="650" t="str">
        <f>IF(data[[#This Row],[uc_synt]]="-","-",VLOOKUP(data[[#This Row],[uc_synt]],ucty_synt!A:T,20,0))</f>
        <v>-</v>
      </c>
      <c r="AA97" s="650" t="str">
        <f>IF(COUNTIF(proc_exc!A:A,data[[#This Row],[ucet]])&gt;1,"chyba v proc_exc!",IF(COUNTIF(proc_exc!A:A,data[[#This Row],[ucet]])=1,VLOOKUP(data[[#This Row],[ucet]],proc_exc!A:E,5,0),data[[#This Row],[proces default]]))</f>
        <v>-</v>
      </c>
    </row>
    <row r="98" spans="2:27" x14ac:dyDescent="0.3">
      <c r="B98" s="36"/>
      <c r="C98" s="32"/>
      <c r="J98" s="15" t="str">
        <f t="shared" si="12"/>
        <v xml:space="preserve"> </v>
      </c>
      <c r="K98" s="3" t="str">
        <f>IF(I98=0,"-",VALUE(LEFT(D98,LEN(D98)-(INDEX!$E$13-3))))</f>
        <v>-</v>
      </c>
      <c r="L98" s="5" t="str">
        <f>IF(I98=0,"-",VLOOKUP(K98,ucty_synt!A:B,2,0))</f>
        <v>-</v>
      </c>
      <c r="M98" s="15" t="str">
        <f>IF(S98="-","-",VLOOKUP(K98,ucty_synt!A:S,3,0))</f>
        <v>-</v>
      </c>
      <c r="N98" s="15" t="str">
        <f>IF(I98=0,"-",IF(M98="Rozvaha",VLOOKUP(S98,'radky_R'!A:O,6,0),IF(M98="Výsledovka",VLOOKUP(S98,'radky_V'!A:M,6,0),"-")))</f>
        <v>-</v>
      </c>
      <c r="O98" s="3" t="str">
        <f>IF(I98=0,"-",IF(COUNTIF(ucty_synt!A:A,K98)=0,"účet n/a",IF(VLOOKUP(K98,ucty_synt!A:S,4,0)=RIGHT($P$1,5),"podle AÚ",IF(VLOOKUP(K98,ucty_synt!A:S,4,0)=RIGHT($Q$1,5),"podle SÚ",IF(SUMIF(ucty_synt!A:A,K98,ucty_synt!E:E)&lt;&gt;0,VLOOKUP(K98,ucty_synt!A:T,5,0),"doplnit")))))</f>
        <v>-</v>
      </c>
      <c r="P98" s="3" t="str">
        <f>IF(I98=0,"-",IF(VLOOKUP(K98,ucty_synt!A:S,4,0)=RIGHT($P$1,5),IF(SUMIFS(I:I,C:C,C98,D:D,D98)&gt;=0,VLOOKUP(K98,ucty_synt!A:E,5,0),VLOOKUP(K98,ucty_synt!A:L,12,0)),"-"))</f>
        <v>-</v>
      </c>
      <c r="Q98" s="3" t="str">
        <f>IF(I98=0,"-",IF(VLOOKUP(K98,ucty_synt!A:S,4,0)=RIGHT($Q$1,5),IF(SUMIFS(I:I,C:C,C98,K:K,K98)&gt;=0,VLOOKUP(K98,ucty_synt!A:E,5,0),VLOOKUP(K98,ucty_synt!A:L,12,0)),"-"))</f>
        <v>-</v>
      </c>
      <c r="R98" s="459"/>
      <c r="S98" s="8" t="str">
        <f t="shared" si="13"/>
        <v>-</v>
      </c>
      <c r="T98" s="15" t="str">
        <f>IF(S98="-","-",IF(M98="Rozvaha",VLOOKUP(S98,'radky_R'!A:O,14,0),IF(M98="Výsledovka",VLOOKUP(S98,'radky_V'!A:M,12,0),"-")))</f>
        <v>-</v>
      </c>
      <c r="U98" s="20" t="str">
        <f>IF(I98=0,"-",IF(M98="Rozvaha",VLOOKUP(S98,'radky_R'!A:O,8,0),IF(M98="Výsledovka",VLOOKUP(S98,'radky_V'!A:M,8,0),"-")))</f>
        <v>-</v>
      </c>
      <c r="V98" s="20" t="str">
        <f>IF(I98=0,"-",IF(M98="Rozvaha",VLOOKUP(S98,'radky_R'!A:O,9,0),IF(M98="Výsledovka",VLOOKUP(S98,'radky_V'!A:M,9,0),"-")))</f>
        <v>-</v>
      </c>
      <c r="W98" s="104" t="str">
        <f>IF(I98=0,"-",IF(M98="Rozvaha",VLOOKUP(S98,'radky_R'!A:O,15,0),IF(M98="Výsledovka",VLOOKUP(S98,'radky_V'!A:M,11,0),"-")))</f>
        <v>-</v>
      </c>
      <c r="X98" s="5" t="str">
        <f>IF(I98=0,"-",VLOOKUP(K98,ucty_synt!A:S,19,0))</f>
        <v>-</v>
      </c>
      <c r="Y98" s="6">
        <f t="shared" si="14"/>
        <v>0</v>
      </c>
      <c r="Z98" s="650" t="str">
        <f>IF(data[[#This Row],[uc_synt]]="-","-",VLOOKUP(data[[#This Row],[uc_synt]],ucty_synt!A:T,20,0))</f>
        <v>-</v>
      </c>
      <c r="AA98" s="650" t="str">
        <f>IF(COUNTIF(proc_exc!A:A,data[[#This Row],[ucet]])&gt;1,"chyba v proc_exc!",IF(COUNTIF(proc_exc!A:A,data[[#This Row],[ucet]])=1,VLOOKUP(data[[#This Row],[ucet]],proc_exc!A:E,5,0),data[[#This Row],[proces default]]))</f>
        <v>-</v>
      </c>
    </row>
    <row r="99" spans="2:27" x14ac:dyDescent="0.3">
      <c r="B99" s="36"/>
      <c r="C99" s="32"/>
      <c r="J99" s="15" t="str">
        <f t="shared" si="12"/>
        <v xml:space="preserve"> </v>
      </c>
      <c r="K99" s="3" t="str">
        <f>IF(I99=0,"-",VALUE(LEFT(D99,LEN(D99)-(INDEX!$E$13-3))))</f>
        <v>-</v>
      </c>
      <c r="L99" s="5" t="str">
        <f>IF(I99=0,"-",VLOOKUP(K99,ucty_synt!A:B,2,0))</f>
        <v>-</v>
      </c>
      <c r="M99" s="15" t="str">
        <f>IF(S99="-","-",VLOOKUP(K99,ucty_synt!A:S,3,0))</f>
        <v>-</v>
      </c>
      <c r="N99" s="15" t="str">
        <f>IF(I99=0,"-",IF(M99="Rozvaha",VLOOKUP(S99,'radky_R'!A:O,6,0),IF(M99="Výsledovka",VLOOKUP(S99,'radky_V'!A:M,6,0),"-")))</f>
        <v>-</v>
      </c>
      <c r="O99" s="3" t="str">
        <f>IF(I99=0,"-",IF(COUNTIF(ucty_synt!A:A,K99)=0,"účet n/a",IF(VLOOKUP(K99,ucty_synt!A:S,4,0)=RIGHT($P$1,5),"podle AÚ",IF(VLOOKUP(K99,ucty_synt!A:S,4,0)=RIGHT($Q$1,5),"podle SÚ",IF(SUMIF(ucty_synt!A:A,K99,ucty_synt!E:E)&lt;&gt;0,VLOOKUP(K99,ucty_synt!A:T,5,0),"doplnit")))))</f>
        <v>-</v>
      </c>
      <c r="P99" s="3" t="str">
        <f>IF(I99=0,"-",IF(VLOOKUP(K99,ucty_synt!A:S,4,0)=RIGHT($P$1,5),IF(SUMIFS(I:I,C:C,C99,D:D,D99)&gt;=0,VLOOKUP(K99,ucty_synt!A:E,5,0),VLOOKUP(K99,ucty_synt!A:L,12,0)),"-"))</f>
        <v>-</v>
      </c>
      <c r="Q99" s="3" t="str">
        <f>IF(I99=0,"-",IF(VLOOKUP(K99,ucty_synt!A:S,4,0)=RIGHT($Q$1,5),IF(SUMIFS(I:I,C:C,C99,K:K,K99)&gt;=0,VLOOKUP(K99,ucty_synt!A:E,5,0),VLOOKUP(K99,ucty_synt!A:L,12,0)),"-"))</f>
        <v>-</v>
      </c>
      <c r="R99" s="459"/>
      <c r="S99" s="8" t="str">
        <f t="shared" si="13"/>
        <v>-</v>
      </c>
      <c r="T99" s="15" t="str">
        <f>IF(S99="-","-",IF(M99="Rozvaha",VLOOKUP(S99,'radky_R'!A:O,14,0),IF(M99="Výsledovka",VLOOKUP(S99,'radky_V'!A:M,12,0),"-")))</f>
        <v>-</v>
      </c>
      <c r="U99" s="20" t="str">
        <f>IF(I99=0,"-",IF(M99="Rozvaha",VLOOKUP(S99,'radky_R'!A:O,8,0),IF(M99="Výsledovka",VLOOKUP(S99,'radky_V'!A:M,8,0),"-")))</f>
        <v>-</v>
      </c>
      <c r="V99" s="20" t="str">
        <f>IF(I99=0,"-",IF(M99="Rozvaha",VLOOKUP(S99,'radky_R'!A:O,9,0),IF(M99="Výsledovka",VLOOKUP(S99,'radky_V'!A:M,9,0),"-")))</f>
        <v>-</v>
      </c>
      <c r="W99" s="104" t="str">
        <f>IF(I99=0,"-",IF(M99="Rozvaha",VLOOKUP(S99,'radky_R'!A:O,15,0),IF(M99="Výsledovka",VLOOKUP(S99,'radky_V'!A:M,11,0),"-")))</f>
        <v>-</v>
      </c>
      <c r="X99" s="5" t="str">
        <f>IF(I99=0,"-",VLOOKUP(K99,ucty_synt!A:S,19,0))</f>
        <v>-</v>
      </c>
      <c r="Y99" s="6">
        <f t="shared" si="14"/>
        <v>0</v>
      </c>
      <c r="Z99" s="650" t="str">
        <f>IF(data[[#This Row],[uc_synt]]="-","-",VLOOKUP(data[[#This Row],[uc_synt]],ucty_synt!A:T,20,0))</f>
        <v>-</v>
      </c>
      <c r="AA99" s="650" t="str">
        <f>IF(COUNTIF(proc_exc!A:A,data[[#This Row],[ucet]])&gt;1,"chyba v proc_exc!",IF(COUNTIF(proc_exc!A:A,data[[#This Row],[ucet]])=1,VLOOKUP(data[[#This Row],[ucet]],proc_exc!A:E,5,0),data[[#This Row],[proces default]]))</f>
        <v>-</v>
      </c>
    </row>
    <row r="100" spans="2:27" x14ac:dyDescent="0.3">
      <c r="B100" s="36"/>
      <c r="C100" s="32"/>
      <c r="J100" s="15" t="str">
        <f t="shared" ref="J100:J131" si="15">CONCATENATE(D100," ",E100)</f>
        <v xml:space="preserve"> </v>
      </c>
      <c r="K100" s="3" t="str">
        <f>IF(I100=0,"-",VALUE(LEFT(D100,LEN(D100)-(INDEX!$E$13-3))))</f>
        <v>-</v>
      </c>
      <c r="L100" s="5" t="str">
        <f>IF(I100=0,"-",VLOOKUP(K100,ucty_synt!A:B,2,0))</f>
        <v>-</v>
      </c>
      <c r="M100" s="15" t="str">
        <f>IF(S100="-","-",VLOOKUP(K100,ucty_synt!A:S,3,0))</f>
        <v>-</v>
      </c>
      <c r="N100" s="15" t="str">
        <f>IF(I100=0,"-",IF(M100="Rozvaha",VLOOKUP(S100,'radky_R'!A:O,6,0),IF(M100="Výsledovka",VLOOKUP(S100,'radky_V'!A:M,6,0),"-")))</f>
        <v>-</v>
      </c>
      <c r="O100" s="3" t="str">
        <f>IF(I100=0,"-",IF(COUNTIF(ucty_synt!A:A,K100)=0,"účet n/a",IF(VLOOKUP(K100,ucty_synt!A:S,4,0)=RIGHT($P$1,5),"podle AÚ",IF(VLOOKUP(K100,ucty_synt!A:S,4,0)=RIGHT($Q$1,5),"podle SÚ",IF(SUMIF(ucty_synt!A:A,K100,ucty_synt!E:E)&lt;&gt;0,VLOOKUP(K100,ucty_synt!A:T,5,0),"doplnit")))))</f>
        <v>-</v>
      </c>
      <c r="P100" s="3" t="str">
        <f>IF(I100=0,"-",IF(VLOOKUP(K100,ucty_synt!A:S,4,0)=RIGHT($P$1,5),IF(SUMIFS(I:I,C:C,C100,D:D,D100)&gt;=0,VLOOKUP(K100,ucty_synt!A:E,5,0),VLOOKUP(K100,ucty_synt!A:L,12,0)),"-"))</f>
        <v>-</v>
      </c>
      <c r="Q100" s="3" t="str">
        <f>IF(I100=0,"-",IF(VLOOKUP(K100,ucty_synt!A:S,4,0)=RIGHT($Q$1,5),IF(SUMIFS(I:I,C:C,C100,K:K,K100)&gt;=0,VLOOKUP(K100,ucty_synt!A:E,5,0),VLOOKUP(K100,ucty_synt!A:L,12,0)),"-"))</f>
        <v>-</v>
      </c>
      <c r="R100" s="459"/>
      <c r="S100" s="8" t="str">
        <f t="shared" ref="S100:S131" si="16">IF(ISNUMBER(R100),R100,IF(ISNUMBER(Q100),Q100,IF(ISNUMBER(P100),P100,IF(ISNUMBER(O100),O100,"-"))))</f>
        <v>-</v>
      </c>
      <c r="T100" s="15" t="str">
        <f>IF(S100="-","-",IF(M100="Rozvaha",VLOOKUP(S100,'radky_R'!A:O,14,0),IF(M100="Výsledovka",VLOOKUP(S100,'radky_V'!A:M,12,0),"-")))</f>
        <v>-</v>
      </c>
      <c r="U100" s="20" t="str">
        <f>IF(I100=0,"-",IF(M100="Rozvaha",VLOOKUP(S100,'radky_R'!A:O,8,0),IF(M100="Výsledovka",VLOOKUP(S100,'radky_V'!A:M,8,0),"-")))</f>
        <v>-</v>
      </c>
      <c r="V100" s="20" t="str">
        <f>IF(I100=0,"-",IF(M100="Rozvaha",VLOOKUP(S100,'radky_R'!A:O,9,0),IF(M100="Výsledovka",VLOOKUP(S100,'radky_V'!A:M,9,0),"-")))</f>
        <v>-</v>
      </c>
      <c r="W100" s="104" t="str">
        <f>IF(I100=0,"-",IF(M100="Rozvaha",VLOOKUP(S100,'radky_R'!A:O,15,0),IF(M100="Výsledovka",VLOOKUP(S100,'radky_V'!A:M,11,0),"-")))</f>
        <v>-</v>
      </c>
      <c r="X100" s="5" t="str">
        <f>IF(I100=0,"-",VLOOKUP(K100,ucty_synt!A:S,19,0))</f>
        <v>-</v>
      </c>
      <c r="Y100" s="6">
        <f t="shared" ref="Y100:Y131" si="17">I100/zaokr</f>
        <v>0</v>
      </c>
      <c r="Z100" s="650" t="str">
        <f>IF(data[[#This Row],[uc_synt]]="-","-",VLOOKUP(data[[#This Row],[uc_synt]],ucty_synt!A:T,20,0))</f>
        <v>-</v>
      </c>
      <c r="AA100" s="650" t="str">
        <f>IF(COUNTIF(proc_exc!A:A,data[[#This Row],[ucet]])&gt;1,"chyba v proc_exc!",IF(COUNTIF(proc_exc!A:A,data[[#This Row],[ucet]])=1,VLOOKUP(data[[#This Row],[ucet]],proc_exc!A:E,5,0),data[[#This Row],[proces default]]))</f>
        <v>-</v>
      </c>
    </row>
    <row r="101" spans="2:27" x14ac:dyDescent="0.3">
      <c r="B101" s="36"/>
      <c r="C101" s="32"/>
      <c r="J101" s="15" t="str">
        <f t="shared" si="15"/>
        <v xml:space="preserve"> </v>
      </c>
      <c r="K101" s="3" t="str">
        <f>IF(I101=0,"-",VALUE(LEFT(D101,LEN(D101)-(INDEX!$E$13-3))))</f>
        <v>-</v>
      </c>
      <c r="L101" s="5" t="str">
        <f>IF(I101=0,"-",VLOOKUP(K101,ucty_synt!A:B,2,0))</f>
        <v>-</v>
      </c>
      <c r="M101" s="15" t="str">
        <f>IF(S101="-","-",VLOOKUP(K101,ucty_synt!A:S,3,0))</f>
        <v>-</v>
      </c>
      <c r="N101" s="15" t="str">
        <f>IF(I101=0,"-",IF(M101="Rozvaha",VLOOKUP(S101,'radky_R'!A:O,6,0),IF(M101="Výsledovka",VLOOKUP(S101,'radky_V'!A:M,6,0),"-")))</f>
        <v>-</v>
      </c>
      <c r="O101" s="3" t="str">
        <f>IF(I101=0,"-",IF(COUNTIF(ucty_synt!A:A,K101)=0,"účet n/a",IF(VLOOKUP(K101,ucty_synt!A:S,4,0)=RIGHT($P$1,5),"podle AÚ",IF(VLOOKUP(K101,ucty_synt!A:S,4,0)=RIGHT($Q$1,5),"podle SÚ",IF(SUMIF(ucty_synt!A:A,K101,ucty_synt!E:E)&lt;&gt;0,VLOOKUP(K101,ucty_synt!A:T,5,0),"doplnit")))))</f>
        <v>-</v>
      </c>
      <c r="P101" s="3" t="str">
        <f>IF(I101=0,"-",IF(VLOOKUP(K101,ucty_synt!A:S,4,0)=RIGHT($P$1,5),IF(SUMIFS(I:I,C:C,C101,D:D,D101)&gt;=0,VLOOKUP(K101,ucty_synt!A:E,5,0),VLOOKUP(K101,ucty_synt!A:L,12,0)),"-"))</f>
        <v>-</v>
      </c>
      <c r="Q101" s="3" t="str">
        <f>IF(I101=0,"-",IF(VLOOKUP(K101,ucty_synt!A:S,4,0)=RIGHT($Q$1,5),IF(SUMIFS(I:I,C:C,C101,K:K,K101)&gt;=0,VLOOKUP(K101,ucty_synt!A:E,5,0),VLOOKUP(K101,ucty_synt!A:L,12,0)),"-"))</f>
        <v>-</v>
      </c>
      <c r="R101" s="459"/>
      <c r="S101" s="8" t="str">
        <f t="shared" si="16"/>
        <v>-</v>
      </c>
      <c r="T101" s="15" t="str">
        <f>IF(S101="-","-",IF(M101="Rozvaha",VLOOKUP(S101,'radky_R'!A:O,14,0),IF(M101="Výsledovka",VLOOKUP(S101,'radky_V'!A:M,12,0),"-")))</f>
        <v>-</v>
      </c>
      <c r="U101" s="20" t="str">
        <f>IF(I101=0,"-",IF(M101="Rozvaha",VLOOKUP(S101,'radky_R'!A:O,8,0),IF(M101="Výsledovka",VLOOKUP(S101,'radky_V'!A:M,8,0),"-")))</f>
        <v>-</v>
      </c>
      <c r="V101" s="20" t="str">
        <f>IF(I101=0,"-",IF(M101="Rozvaha",VLOOKUP(S101,'radky_R'!A:O,9,0),IF(M101="Výsledovka",VLOOKUP(S101,'radky_V'!A:M,9,0),"-")))</f>
        <v>-</v>
      </c>
      <c r="W101" s="104" t="str">
        <f>IF(I101=0,"-",IF(M101="Rozvaha",VLOOKUP(S101,'radky_R'!A:O,15,0),IF(M101="Výsledovka",VLOOKUP(S101,'radky_V'!A:M,11,0),"-")))</f>
        <v>-</v>
      </c>
      <c r="X101" s="5" t="str">
        <f>IF(I101=0,"-",VLOOKUP(K101,ucty_synt!A:S,19,0))</f>
        <v>-</v>
      </c>
      <c r="Y101" s="6">
        <f t="shared" si="17"/>
        <v>0</v>
      </c>
      <c r="Z101" s="650" t="str">
        <f>IF(data[[#This Row],[uc_synt]]="-","-",VLOOKUP(data[[#This Row],[uc_synt]],ucty_synt!A:T,20,0))</f>
        <v>-</v>
      </c>
      <c r="AA101" s="650" t="str">
        <f>IF(COUNTIF(proc_exc!A:A,data[[#This Row],[ucet]])&gt;1,"chyba v proc_exc!",IF(COUNTIF(proc_exc!A:A,data[[#This Row],[ucet]])=1,VLOOKUP(data[[#This Row],[ucet]],proc_exc!A:E,5,0),data[[#This Row],[proces default]]))</f>
        <v>-</v>
      </c>
    </row>
    <row r="102" spans="2:27" x14ac:dyDescent="0.3">
      <c r="B102" s="36"/>
      <c r="C102" s="32"/>
      <c r="J102" s="15" t="str">
        <f t="shared" si="15"/>
        <v xml:space="preserve"> </v>
      </c>
      <c r="K102" s="3" t="str">
        <f>IF(I102=0,"-",VALUE(LEFT(D102,LEN(D102)-(INDEX!$E$13-3))))</f>
        <v>-</v>
      </c>
      <c r="L102" s="5" t="str">
        <f>IF(I102=0,"-",VLOOKUP(K102,ucty_synt!A:B,2,0))</f>
        <v>-</v>
      </c>
      <c r="M102" s="15" t="str">
        <f>IF(S102="-","-",VLOOKUP(K102,ucty_synt!A:S,3,0))</f>
        <v>-</v>
      </c>
      <c r="N102" s="15" t="str">
        <f>IF(I102=0,"-",IF(M102="Rozvaha",VLOOKUP(S102,'radky_R'!A:O,6,0),IF(M102="Výsledovka",VLOOKUP(S102,'radky_V'!A:M,6,0),"-")))</f>
        <v>-</v>
      </c>
      <c r="O102" s="3" t="str">
        <f>IF(I102=0,"-",IF(COUNTIF(ucty_synt!A:A,K102)=0,"účet n/a",IF(VLOOKUP(K102,ucty_synt!A:S,4,0)=RIGHT($P$1,5),"podle AÚ",IF(VLOOKUP(K102,ucty_synt!A:S,4,0)=RIGHT($Q$1,5),"podle SÚ",IF(SUMIF(ucty_synt!A:A,K102,ucty_synt!E:E)&lt;&gt;0,VLOOKUP(K102,ucty_synt!A:T,5,0),"doplnit")))))</f>
        <v>-</v>
      </c>
      <c r="P102" s="3" t="str">
        <f>IF(I102=0,"-",IF(VLOOKUP(K102,ucty_synt!A:S,4,0)=RIGHT($P$1,5),IF(SUMIFS(I:I,C:C,C102,D:D,D102)&gt;=0,VLOOKUP(K102,ucty_synt!A:E,5,0),VLOOKUP(K102,ucty_synt!A:L,12,0)),"-"))</f>
        <v>-</v>
      </c>
      <c r="Q102" s="3" t="str">
        <f>IF(I102=0,"-",IF(VLOOKUP(K102,ucty_synt!A:S,4,0)=RIGHT($Q$1,5),IF(SUMIFS(I:I,C:C,C102,K:K,K102)&gt;=0,VLOOKUP(K102,ucty_synt!A:E,5,0),VLOOKUP(K102,ucty_synt!A:L,12,0)),"-"))</f>
        <v>-</v>
      </c>
      <c r="R102" s="459"/>
      <c r="S102" s="8" t="str">
        <f t="shared" si="16"/>
        <v>-</v>
      </c>
      <c r="T102" s="15" t="str">
        <f>IF(S102="-","-",IF(M102="Rozvaha",VLOOKUP(S102,'radky_R'!A:O,14,0),IF(M102="Výsledovka",VLOOKUP(S102,'radky_V'!A:M,12,0),"-")))</f>
        <v>-</v>
      </c>
      <c r="U102" s="20" t="str">
        <f>IF(I102=0,"-",IF(M102="Rozvaha",VLOOKUP(S102,'radky_R'!A:O,8,0),IF(M102="Výsledovka",VLOOKUP(S102,'radky_V'!A:M,8,0),"-")))</f>
        <v>-</v>
      </c>
      <c r="V102" s="20" t="str">
        <f>IF(I102=0,"-",IF(M102="Rozvaha",VLOOKUP(S102,'radky_R'!A:O,9,0),IF(M102="Výsledovka",VLOOKUP(S102,'radky_V'!A:M,9,0),"-")))</f>
        <v>-</v>
      </c>
      <c r="W102" s="104" t="str">
        <f>IF(I102=0,"-",IF(M102="Rozvaha",VLOOKUP(S102,'radky_R'!A:O,15,0),IF(M102="Výsledovka",VLOOKUP(S102,'radky_V'!A:M,11,0),"-")))</f>
        <v>-</v>
      </c>
      <c r="X102" s="5" t="str">
        <f>IF(I102=0,"-",VLOOKUP(K102,ucty_synt!A:S,19,0))</f>
        <v>-</v>
      </c>
      <c r="Y102" s="6">
        <f t="shared" si="17"/>
        <v>0</v>
      </c>
      <c r="Z102" s="650" t="str">
        <f>IF(data[[#This Row],[uc_synt]]="-","-",VLOOKUP(data[[#This Row],[uc_synt]],ucty_synt!A:T,20,0))</f>
        <v>-</v>
      </c>
      <c r="AA102" s="650" t="str">
        <f>IF(COUNTIF(proc_exc!A:A,data[[#This Row],[ucet]])&gt;1,"chyba v proc_exc!",IF(COUNTIF(proc_exc!A:A,data[[#This Row],[ucet]])=1,VLOOKUP(data[[#This Row],[ucet]],proc_exc!A:E,5,0),data[[#This Row],[proces default]]))</f>
        <v>-</v>
      </c>
    </row>
    <row r="103" spans="2:27" x14ac:dyDescent="0.3">
      <c r="B103" s="36"/>
      <c r="C103" s="32"/>
      <c r="J103" s="15" t="str">
        <f t="shared" si="15"/>
        <v xml:space="preserve"> </v>
      </c>
      <c r="K103" s="3" t="str">
        <f>IF(I103=0,"-",VALUE(LEFT(D103,LEN(D103)-(INDEX!$E$13-3))))</f>
        <v>-</v>
      </c>
      <c r="L103" s="5" t="str">
        <f>IF(I103=0,"-",VLOOKUP(K103,ucty_synt!A:B,2,0))</f>
        <v>-</v>
      </c>
      <c r="M103" s="15" t="str">
        <f>IF(S103="-","-",VLOOKUP(K103,ucty_synt!A:S,3,0))</f>
        <v>-</v>
      </c>
      <c r="N103" s="15" t="str">
        <f>IF(I103=0,"-",IF(M103="Rozvaha",VLOOKUP(S103,'radky_R'!A:O,6,0),IF(M103="Výsledovka",VLOOKUP(S103,'radky_V'!A:M,6,0),"-")))</f>
        <v>-</v>
      </c>
      <c r="O103" s="3" t="str">
        <f>IF(I103=0,"-",IF(COUNTIF(ucty_synt!A:A,K103)=0,"účet n/a",IF(VLOOKUP(K103,ucty_synt!A:S,4,0)=RIGHT($P$1,5),"podle AÚ",IF(VLOOKUP(K103,ucty_synt!A:S,4,0)=RIGHT($Q$1,5),"podle SÚ",IF(SUMIF(ucty_synt!A:A,K103,ucty_synt!E:E)&lt;&gt;0,VLOOKUP(K103,ucty_synt!A:T,5,0),"doplnit")))))</f>
        <v>-</v>
      </c>
      <c r="P103" s="3" t="str">
        <f>IF(I103=0,"-",IF(VLOOKUP(K103,ucty_synt!A:S,4,0)=RIGHT($P$1,5),IF(SUMIFS(I:I,C:C,C103,D:D,D103)&gt;=0,VLOOKUP(K103,ucty_synt!A:E,5,0),VLOOKUP(K103,ucty_synt!A:L,12,0)),"-"))</f>
        <v>-</v>
      </c>
      <c r="Q103" s="3" t="str">
        <f>IF(I103=0,"-",IF(VLOOKUP(K103,ucty_synt!A:S,4,0)=RIGHT($Q$1,5),IF(SUMIFS(I:I,C:C,C103,K:K,K103)&gt;=0,VLOOKUP(K103,ucty_synt!A:E,5,0),VLOOKUP(K103,ucty_synt!A:L,12,0)),"-"))</f>
        <v>-</v>
      </c>
      <c r="R103" s="459"/>
      <c r="S103" s="8" t="str">
        <f t="shared" si="16"/>
        <v>-</v>
      </c>
      <c r="T103" s="15" t="str">
        <f>IF(S103="-","-",IF(M103="Rozvaha",VLOOKUP(S103,'radky_R'!A:O,14,0),IF(M103="Výsledovka",VLOOKUP(S103,'radky_V'!A:M,12,0),"-")))</f>
        <v>-</v>
      </c>
      <c r="U103" s="20" t="str">
        <f>IF(I103=0,"-",IF(M103="Rozvaha",VLOOKUP(S103,'radky_R'!A:O,8,0),IF(M103="Výsledovka",VLOOKUP(S103,'radky_V'!A:M,8,0),"-")))</f>
        <v>-</v>
      </c>
      <c r="V103" s="20" t="str">
        <f>IF(I103=0,"-",IF(M103="Rozvaha",VLOOKUP(S103,'radky_R'!A:O,9,0),IF(M103="Výsledovka",VLOOKUP(S103,'radky_V'!A:M,9,0),"-")))</f>
        <v>-</v>
      </c>
      <c r="W103" s="104" t="str">
        <f>IF(I103=0,"-",IF(M103="Rozvaha",VLOOKUP(S103,'radky_R'!A:O,15,0),IF(M103="Výsledovka",VLOOKUP(S103,'radky_V'!A:M,11,0),"-")))</f>
        <v>-</v>
      </c>
      <c r="X103" s="5" t="str">
        <f>IF(I103=0,"-",VLOOKUP(K103,ucty_synt!A:S,19,0))</f>
        <v>-</v>
      </c>
      <c r="Y103" s="6">
        <f t="shared" si="17"/>
        <v>0</v>
      </c>
      <c r="Z103" s="650" t="str">
        <f>IF(data[[#This Row],[uc_synt]]="-","-",VLOOKUP(data[[#This Row],[uc_synt]],ucty_synt!A:T,20,0))</f>
        <v>-</v>
      </c>
      <c r="AA103" s="650" t="str">
        <f>IF(COUNTIF(proc_exc!A:A,data[[#This Row],[ucet]])&gt;1,"chyba v proc_exc!",IF(COUNTIF(proc_exc!A:A,data[[#This Row],[ucet]])=1,VLOOKUP(data[[#This Row],[ucet]],proc_exc!A:E,5,0),data[[#This Row],[proces default]]))</f>
        <v>-</v>
      </c>
    </row>
    <row r="104" spans="2:27" x14ac:dyDescent="0.3">
      <c r="B104" s="36"/>
      <c r="C104" s="32"/>
      <c r="J104" s="15" t="str">
        <f t="shared" si="15"/>
        <v xml:space="preserve"> </v>
      </c>
      <c r="K104" s="3" t="str">
        <f>IF(I104=0,"-",VALUE(LEFT(D104,LEN(D104)-(INDEX!$E$13-3))))</f>
        <v>-</v>
      </c>
      <c r="L104" s="5" t="str">
        <f>IF(I104=0,"-",VLOOKUP(K104,ucty_synt!A:B,2,0))</f>
        <v>-</v>
      </c>
      <c r="M104" s="15" t="str">
        <f>IF(S104="-","-",VLOOKUP(K104,ucty_synt!A:S,3,0))</f>
        <v>-</v>
      </c>
      <c r="N104" s="15" t="str">
        <f>IF(I104=0,"-",IF(M104="Rozvaha",VLOOKUP(S104,'radky_R'!A:O,6,0),IF(M104="Výsledovka",VLOOKUP(S104,'radky_V'!A:M,6,0),"-")))</f>
        <v>-</v>
      </c>
      <c r="O104" s="3" t="str">
        <f>IF(I104=0,"-",IF(COUNTIF(ucty_synt!A:A,K104)=0,"účet n/a",IF(VLOOKUP(K104,ucty_synt!A:S,4,0)=RIGHT($P$1,5),"podle AÚ",IF(VLOOKUP(K104,ucty_synt!A:S,4,0)=RIGHT($Q$1,5),"podle SÚ",IF(SUMIF(ucty_synt!A:A,K104,ucty_synt!E:E)&lt;&gt;0,VLOOKUP(K104,ucty_synt!A:T,5,0),"doplnit")))))</f>
        <v>-</v>
      </c>
      <c r="P104" s="3" t="str">
        <f>IF(I104=0,"-",IF(VLOOKUP(K104,ucty_synt!A:S,4,0)=RIGHT($P$1,5),IF(SUMIFS(I:I,C:C,C104,D:D,D104)&gt;=0,VLOOKUP(K104,ucty_synt!A:E,5,0),VLOOKUP(K104,ucty_synt!A:L,12,0)),"-"))</f>
        <v>-</v>
      </c>
      <c r="Q104" s="3" t="str">
        <f>IF(I104=0,"-",IF(VLOOKUP(K104,ucty_synt!A:S,4,0)=RIGHT($Q$1,5),IF(SUMIFS(I:I,C:C,C104,K:K,K104)&gt;=0,VLOOKUP(K104,ucty_synt!A:E,5,0),VLOOKUP(K104,ucty_synt!A:L,12,0)),"-"))</f>
        <v>-</v>
      </c>
      <c r="R104" s="459"/>
      <c r="S104" s="8" t="str">
        <f t="shared" si="16"/>
        <v>-</v>
      </c>
      <c r="T104" s="15" t="str">
        <f>IF(S104="-","-",IF(M104="Rozvaha",VLOOKUP(S104,'radky_R'!A:O,14,0),IF(M104="Výsledovka",VLOOKUP(S104,'radky_V'!A:M,12,0),"-")))</f>
        <v>-</v>
      </c>
      <c r="U104" s="20" t="str">
        <f>IF(I104=0,"-",IF(M104="Rozvaha",VLOOKUP(S104,'radky_R'!A:O,8,0),IF(M104="Výsledovka",VLOOKUP(S104,'radky_V'!A:M,8,0),"-")))</f>
        <v>-</v>
      </c>
      <c r="V104" s="20" t="str">
        <f>IF(I104=0,"-",IF(M104="Rozvaha",VLOOKUP(S104,'radky_R'!A:O,9,0),IF(M104="Výsledovka",VLOOKUP(S104,'radky_V'!A:M,9,0),"-")))</f>
        <v>-</v>
      </c>
      <c r="W104" s="104" t="str">
        <f>IF(I104=0,"-",IF(M104="Rozvaha",VLOOKUP(S104,'radky_R'!A:O,15,0),IF(M104="Výsledovka",VLOOKUP(S104,'radky_V'!A:M,11,0),"-")))</f>
        <v>-</v>
      </c>
      <c r="X104" s="5" t="str">
        <f>IF(I104=0,"-",VLOOKUP(K104,ucty_synt!A:S,19,0))</f>
        <v>-</v>
      </c>
      <c r="Y104" s="6">
        <f t="shared" si="17"/>
        <v>0</v>
      </c>
      <c r="Z104" s="650" t="str">
        <f>IF(data[[#This Row],[uc_synt]]="-","-",VLOOKUP(data[[#This Row],[uc_synt]],ucty_synt!A:T,20,0))</f>
        <v>-</v>
      </c>
      <c r="AA104" s="650" t="str">
        <f>IF(COUNTIF(proc_exc!A:A,data[[#This Row],[ucet]])&gt;1,"chyba v proc_exc!",IF(COUNTIF(proc_exc!A:A,data[[#This Row],[ucet]])=1,VLOOKUP(data[[#This Row],[ucet]],proc_exc!A:E,5,0),data[[#This Row],[proces default]]))</f>
        <v>-</v>
      </c>
    </row>
    <row r="105" spans="2:27" x14ac:dyDescent="0.3">
      <c r="B105" s="36"/>
      <c r="C105" s="32"/>
      <c r="J105" s="15" t="str">
        <f t="shared" si="15"/>
        <v xml:space="preserve"> </v>
      </c>
      <c r="K105" s="3" t="str">
        <f>IF(I105=0,"-",VALUE(LEFT(D105,LEN(D105)-(INDEX!$E$13-3))))</f>
        <v>-</v>
      </c>
      <c r="L105" s="5" t="str">
        <f>IF(I105=0,"-",VLOOKUP(K105,ucty_synt!A:B,2,0))</f>
        <v>-</v>
      </c>
      <c r="M105" s="15" t="str">
        <f>IF(S105="-","-",VLOOKUP(K105,ucty_synt!A:S,3,0))</f>
        <v>-</v>
      </c>
      <c r="N105" s="15" t="str">
        <f>IF(I105=0,"-",IF(M105="Rozvaha",VLOOKUP(S105,'radky_R'!A:O,6,0),IF(M105="Výsledovka",VLOOKUP(S105,'radky_V'!A:M,6,0),"-")))</f>
        <v>-</v>
      </c>
      <c r="O105" s="3" t="str">
        <f>IF(I105=0,"-",IF(COUNTIF(ucty_synt!A:A,K105)=0,"účet n/a",IF(VLOOKUP(K105,ucty_synt!A:S,4,0)=RIGHT($P$1,5),"podle AÚ",IF(VLOOKUP(K105,ucty_synt!A:S,4,0)=RIGHT($Q$1,5),"podle SÚ",IF(SUMIF(ucty_synt!A:A,K105,ucty_synt!E:E)&lt;&gt;0,VLOOKUP(K105,ucty_synt!A:T,5,0),"doplnit")))))</f>
        <v>-</v>
      </c>
      <c r="P105" s="3" t="str">
        <f>IF(I105=0,"-",IF(VLOOKUP(K105,ucty_synt!A:S,4,0)=RIGHT($P$1,5),IF(SUMIFS(I:I,C:C,C105,D:D,D105)&gt;=0,VLOOKUP(K105,ucty_synt!A:E,5,0),VLOOKUP(K105,ucty_synt!A:L,12,0)),"-"))</f>
        <v>-</v>
      </c>
      <c r="Q105" s="3" t="str">
        <f>IF(I105=0,"-",IF(VLOOKUP(K105,ucty_synt!A:S,4,0)=RIGHT($Q$1,5),IF(SUMIFS(I:I,C:C,C105,K:K,K105)&gt;=0,VLOOKUP(K105,ucty_synt!A:E,5,0),VLOOKUP(K105,ucty_synt!A:L,12,0)),"-"))</f>
        <v>-</v>
      </c>
      <c r="R105" s="459"/>
      <c r="S105" s="8" t="str">
        <f t="shared" si="16"/>
        <v>-</v>
      </c>
      <c r="T105" s="15" t="str">
        <f>IF(S105="-","-",IF(M105="Rozvaha",VLOOKUP(S105,'radky_R'!A:O,14,0),IF(M105="Výsledovka",VLOOKUP(S105,'radky_V'!A:M,12,0),"-")))</f>
        <v>-</v>
      </c>
      <c r="U105" s="20" t="str">
        <f>IF(I105=0,"-",IF(M105="Rozvaha",VLOOKUP(S105,'radky_R'!A:O,8,0),IF(M105="Výsledovka",VLOOKUP(S105,'radky_V'!A:M,8,0),"-")))</f>
        <v>-</v>
      </c>
      <c r="V105" s="20" t="str">
        <f>IF(I105=0,"-",IF(M105="Rozvaha",VLOOKUP(S105,'radky_R'!A:O,9,0),IF(M105="Výsledovka",VLOOKUP(S105,'radky_V'!A:M,9,0),"-")))</f>
        <v>-</v>
      </c>
      <c r="W105" s="104" t="str">
        <f>IF(I105=0,"-",IF(M105="Rozvaha",VLOOKUP(S105,'radky_R'!A:O,15,0),IF(M105="Výsledovka",VLOOKUP(S105,'radky_V'!A:M,11,0),"-")))</f>
        <v>-</v>
      </c>
      <c r="X105" s="5" t="str">
        <f>IF(I105=0,"-",VLOOKUP(K105,ucty_synt!A:S,19,0))</f>
        <v>-</v>
      </c>
      <c r="Y105" s="6">
        <f t="shared" si="17"/>
        <v>0</v>
      </c>
      <c r="Z105" s="650" t="str">
        <f>IF(data[[#This Row],[uc_synt]]="-","-",VLOOKUP(data[[#This Row],[uc_synt]],ucty_synt!A:T,20,0))</f>
        <v>-</v>
      </c>
      <c r="AA105" s="650" t="str">
        <f>IF(COUNTIF(proc_exc!A:A,data[[#This Row],[ucet]])&gt;1,"chyba v proc_exc!",IF(COUNTIF(proc_exc!A:A,data[[#This Row],[ucet]])=1,VLOOKUP(data[[#This Row],[ucet]],proc_exc!A:E,5,0),data[[#This Row],[proces default]]))</f>
        <v>-</v>
      </c>
    </row>
    <row r="106" spans="2:27" x14ac:dyDescent="0.3">
      <c r="B106" s="36"/>
      <c r="C106" s="32"/>
      <c r="J106" s="15" t="str">
        <f t="shared" si="15"/>
        <v xml:space="preserve"> </v>
      </c>
      <c r="K106" s="3" t="str">
        <f>IF(I106=0,"-",VALUE(LEFT(D106,LEN(D106)-(INDEX!$E$13-3))))</f>
        <v>-</v>
      </c>
      <c r="L106" s="5" t="str">
        <f>IF(I106=0,"-",VLOOKUP(K106,ucty_synt!A:B,2,0))</f>
        <v>-</v>
      </c>
      <c r="M106" s="15" t="str">
        <f>IF(S106="-","-",VLOOKUP(K106,ucty_synt!A:S,3,0))</f>
        <v>-</v>
      </c>
      <c r="N106" s="15" t="str">
        <f>IF(I106=0,"-",IF(M106="Rozvaha",VLOOKUP(S106,'radky_R'!A:O,6,0),IF(M106="Výsledovka",VLOOKUP(S106,'radky_V'!A:M,6,0),"-")))</f>
        <v>-</v>
      </c>
      <c r="O106" s="3" t="str">
        <f>IF(I106=0,"-",IF(COUNTIF(ucty_synt!A:A,K106)=0,"účet n/a",IF(VLOOKUP(K106,ucty_synt!A:S,4,0)=RIGHT($P$1,5),"podle AÚ",IF(VLOOKUP(K106,ucty_synt!A:S,4,0)=RIGHT($Q$1,5),"podle SÚ",IF(SUMIF(ucty_synt!A:A,K106,ucty_synt!E:E)&lt;&gt;0,VLOOKUP(K106,ucty_synt!A:T,5,0),"doplnit")))))</f>
        <v>-</v>
      </c>
      <c r="P106" s="3" t="str">
        <f>IF(I106=0,"-",IF(VLOOKUP(K106,ucty_synt!A:S,4,0)=RIGHT($P$1,5),IF(SUMIFS(I:I,C:C,C106,D:D,D106)&gt;=0,VLOOKUP(K106,ucty_synt!A:E,5,0),VLOOKUP(K106,ucty_synt!A:L,12,0)),"-"))</f>
        <v>-</v>
      </c>
      <c r="Q106" s="3" t="str">
        <f>IF(I106=0,"-",IF(VLOOKUP(K106,ucty_synt!A:S,4,0)=RIGHT($Q$1,5),IF(SUMIFS(I:I,C:C,C106,K:K,K106)&gt;=0,VLOOKUP(K106,ucty_synt!A:E,5,0),VLOOKUP(K106,ucty_synt!A:L,12,0)),"-"))</f>
        <v>-</v>
      </c>
      <c r="R106" s="459"/>
      <c r="S106" s="8" t="str">
        <f t="shared" si="16"/>
        <v>-</v>
      </c>
      <c r="T106" s="15" t="str">
        <f>IF(S106="-","-",IF(M106="Rozvaha",VLOOKUP(S106,'radky_R'!A:O,14,0),IF(M106="Výsledovka",VLOOKUP(S106,'radky_V'!A:M,12,0),"-")))</f>
        <v>-</v>
      </c>
      <c r="U106" s="20" t="str">
        <f>IF(I106=0,"-",IF(M106="Rozvaha",VLOOKUP(S106,'radky_R'!A:O,8,0),IF(M106="Výsledovka",VLOOKUP(S106,'radky_V'!A:M,8,0),"-")))</f>
        <v>-</v>
      </c>
      <c r="V106" s="20" t="str">
        <f>IF(I106=0,"-",IF(M106="Rozvaha",VLOOKUP(S106,'radky_R'!A:O,9,0),IF(M106="Výsledovka",VLOOKUP(S106,'radky_V'!A:M,9,0),"-")))</f>
        <v>-</v>
      </c>
      <c r="W106" s="104" t="str">
        <f>IF(I106=0,"-",IF(M106="Rozvaha",VLOOKUP(S106,'radky_R'!A:O,15,0),IF(M106="Výsledovka",VLOOKUP(S106,'radky_V'!A:M,11,0),"-")))</f>
        <v>-</v>
      </c>
      <c r="X106" s="5" t="str">
        <f>IF(I106=0,"-",VLOOKUP(K106,ucty_synt!A:S,19,0))</f>
        <v>-</v>
      </c>
      <c r="Y106" s="6">
        <f t="shared" si="17"/>
        <v>0</v>
      </c>
      <c r="Z106" s="650" t="str">
        <f>IF(data[[#This Row],[uc_synt]]="-","-",VLOOKUP(data[[#This Row],[uc_synt]],ucty_synt!A:T,20,0))</f>
        <v>-</v>
      </c>
      <c r="AA106" s="650" t="str">
        <f>IF(COUNTIF(proc_exc!A:A,data[[#This Row],[ucet]])&gt;1,"chyba v proc_exc!",IF(COUNTIF(proc_exc!A:A,data[[#This Row],[ucet]])=1,VLOOKUP(data[[#This Row],[ucet]],proc_exc!A:E,5,0),data[[#This Row],[proces default]]))</f>
        <v>-</v>
      </c>
    </row>
    <row r="107" spans="2:27" x14ac:dyDescent="0.3">
      <c r="B107" s="36"/>
      <c r="C107" s="32"/>
      <c r="J107" s="15" t="str">
        <f t="shared" si="15"/>
        <v xml:space="preserve"> </v>
      </c>
      <c r="K107" s="3" t="str">
        <f>IF(I107=0,"-",VALUE(LEFT(D107,LEN(D107)-(INDEX!$E$13-3))))</f>
        <v>-</v>
      </c>
      <c r="L107" s="5" t="str">
        <f>IF(I107=0,"-",VLOOKUP(K107,ucty_synt!A:B,2,0))</f>
        <v>-</v>
      </c>
      <c r="M107" s="15" t="str">
        <f>IF(S107="-","-",VLOOKUP(K107,ucty_synt!A:S,3,0))</f>
        <v>-</v>
      </c>
      <c r="N107" s="15" t="str">
        <f>IF(I107=0,"-",IF(M107="Rozvaha",VLOOKUP(S107,'radky_R'!A:O,6,0),IF(M107="Výsledovka",VLOOKUP(S107,'radky_V'!A:M,6,0),"-")))</f>
        <v>-</v>
      </c>
      <c r="O107" s="3" t="str">
        <f>IF(I107=0,"-",IF(COUNTIF(ucty_synt!A:A,K107)=0,"účet n/a",IF(VLOOKUP(K107,ucty_synt!A:S,4,0)=RIGHT($P$1,5),"podle AÚ",IF(VLOOKUP(K107,ucty_synt!A:S,4,0)=RIGHT($Q$1,5),"podle SÚ",IF(SUMIF(ucty_synt!A:A,K107,ucty_synt!E:E)&lt;&gt;0,VLOOKUP(K107,ucty_synt!A:T,5,0),"doplnit")))))</f>
        <v>-</v>
      </c>
      <c r="P107" s="3" t="str">
        <f>IF(I107=0,"-",IF(VLOOKUP(K107,ucty_synt!A:S,4,0)=RIGHT($P$1,5),IF(SUMIFS(I:I,C:C,C107,D:D,D107)&gt;=0,VLOOKUP(K107,ucty_synt!A:E,5,0),VLOOKUP(K107,ucty_synt!A:L,12,0)),"-"))</f>
        <v>-</v>
      </c>
      <c r="Q107" s="3" t="str">
        <f>IF(I107=0,"-",IF(VLOOKUP(K107,ucty_synt!A:S,4,0)=RIGHT($Q$1,5),IF(SUMIFS(I:I,C:C,C107,K:K,K107)&gt;=0,VLOOKUP(K107,ucty_synt!A:E,5,0),VLOOKUP(K107,ucty_synt!A:L,12,0)),"-"))</f>
        <v>-</v>
      </c>
      <c r="R107" s="459"/>
      <c r="S107" s="8" t="str">
        <f t="shared" si="16"/>
        <v>-</v>
      </c>
      <c r="T107" s="15" t="str">
        <f>IF(S107="-","-",IF(M107="Rozvaha",VLOOKUP(S107,'radky_R'!A:O,14,0),IF(M107="Výsledovka",VLOOKUP(S107,'radky_V'!A:M,12,0),"-")))</f>
        <v>-</v>
      </c>
      <c r="U107" s="20" t="str">
        <f>IF(I107=0,"-",IF(M107="Rozvaha",VLOOKUP(S107,'radky_R'!A:O,8,0),IF(M107="Výsledovka",VLOOKUP(S107,'radky_V'!A:M,8,0),"-")))</f>
        <v>-</v>
      </c>
      <c r="V107" s="20" t="str">
        <f>IF(I107=0,"-",IF(M107="Rozvaha",VLOOKUP(S107,'radky_R'!A:O,9,0),IF(M107="Výsledovka",VLOOKUP(S107,'radky_V'!A:M,9,0),"-")))</f>
        <v>-</v>
      </c>
      <c r="W107" s="104" t="str">
        <f>IF(I107=0,"-",IF(M107="Rozvaha",VLOOKUP(S107,'radky_R'!A:O,15,0),IF(M107="Výsledovka",VLOOKUP(S107,'radky_V'!A:M,11,0),"-")))</f>
        <v>-</v>
      </c>
      <c r="X107" s="5" t="str">
        <f>IF(I107=0,"-",VLOOKUP(K107,ucty_synt!A:S,19,0))</f>
        <v>-</v>
      </c>
      <c r="Y107" s="6">
        <f t="shared" si="17"/>
        <v>0</v>
      </c>
      <c r="Z107" s="650" t="str">
        <f>IF(data[[#This Row],[uc_synt]]="-","-",VLOOKUP(data[[#This Row],[uc_synt]],ucty_synt!A:T,20,0))</f>
        <v>-</v>
      </c>
      <c r="AA107" s="650" t="str">
        <f>IF(COUNTIF(proc_exc!A:A,data[[#This Row],[ucet]])&gt;1,"chyba v proc_exc!",IF(COUNTIF(proc_exc!A:A,data[[#This Row],[ucet]])=1,VLOOKUP(data[[#This Row],[ucet]],proc_exc!A:E,5,0),data[[#This Row],[proces default]]))</f>
        <v>-</v>
      </c>
    </row>
    <row r="108" spans="2:27" x14ac:dyDescent="0.3">
      <c r="B108" s="36"/>
      <c r="C108" s="32"/>
      <c r="J108" s="15" t="str">
        <f t="shared" si="15"/>
        <v xml:space="preserve"> </v>
      </c>
      <c r="K108" s="3" t="str">
        <f>IF(I108=0,"-",VALUE(LEFT(D108,LEN(D108)-(INDEX!$E$13-3))))</f>
        <v>-</v>
      </c>
      <c r="L108" s="5" t="str">
        <f>IF(I108=0,"-",VLOOKUP(K108,ucty_synt!A:B,2,0))</f>
        <v>-</v>
      </c>
      <c r="M108" s="15" t="str">
        <f>IF(S108="-","-",VLOOKUP(K108,ucty_synt!A:S,3,0))</f>
        <v>-</v>
      </c>
      <c r="N108" s="15" t="str">
        <f>IF(I108=0,"-",IF(M108="Rozvaha",VLOOKUP(S108,'radky_R'!A:O,6,0),IF(M108="Výsledovka",VLOOKUP(S108,'radky_V'!A:M,6,0),"-")))</f>
        <v>-</v>
      </c>
      <c r="O108" s="3" t="str">
        <f>IF(I108=0,"-",IF(COUNTIF(ucty_synt!A:A,K108)=0,"účet n/a",IF(VLOOKUP(K108,ucty_synt!A:S,4,0)=RIGHT($P$1,5),"podle AÚ",IF(VLOOKUP(K108,ucty_synt!A:S,4,0)=RIGHT($Q$1,5),"podle SÚ",IF(SUMIF(ucty_synt!A:A,K108,ucty_synt!E:E)&lt;&gt;0,VLOOKUP(K108,ucty_synt!A:T,5,0),"doplnit")))))</f>
        <v>-</v>
      </c>
      <c r="P108" s="3" t="str">
        <f>IF(I108=0,"-",IF(VLOOKUP(K108,ucty_synt!A:S,4,0)=RIGHT($P$1,5),IF(SUMIFS(I:I,C:C,C108,D:D,D108)&gt;=0,VLOOKUP(K108,ucty_synt!A:E,5,0),VLOOKUP(K108,ucty_synt!A:L,12,0)),"-"))</f>
        <v>-</v>
      </c>
      <c r="Q108" s="3" t="str">
        <f>IF(I108=0,"-",IF(VLOOKUP(K108,ucty_synt!A:S,4,0)=RIGHT($Q$1,5),IF(SUMIFS(I:I,C:C,C108,K:K,K108)&gt;=0,VLOOKUP(K108,ucty_synt!A:E,5,0),VLOOKUP(K108,ucty_synt!A:L,12,0)),"-"))</f>
        <v>-</v>
      </c>
      <c r="R108" s="459"/>
      <c r="S108" s="8" t="str">
        <f t="shared" si="16"/>
        <v>-</v>
      </c>
      <c r="T108" s="15" t="str">
        <f>IF(S108="-","-",IF(M108="Rozvaha",VLOOKUP(S108,'radky_R'!A:O,14,0),IF(M108="Výsledovka",VLOOKUP(S108,'radky_V'!A:M,12,0),"-")))</f>
        <v>-</v>
      </c>
      <c r="U108" s="20" t="str">
        <f>IF(I108=0,"-",IF(M108="Rozvaha",VLOOKUP(S108,'radky_R'!A:O,8,0),IF(M108="Výsledovka",VLOOKUP(S108,'radky_V'!A:M,8,0),"-")))</f>
        <v>-</v>
      </c>
      <c r="V108" s="20" t="str">
        <f>IF(I108=0,"-",IF(M108="Rozvaha",VLOOKUP(S108,'radky_R'!A:O,9,0),IF(M108="Výsledovka",VLOOKUP(S108,'radky_V'!A:M,9,0),"-")))</f>
        <v>-</v>
      </c>
      <c r="W108" s="104" t="str">
        <f>IF(I108=0,"-",IF(M108="Rozvaha",VLOOKUP(S108,'radky_R'!A:O,15,0),IF(M108="Výsledovka",VLOOKUP(S108,'radky_V'!A:M,11,0),"-")))</f>
        <v>-</v>
      </c>
      <c r="X108" s="5" t="str">
        <f>IF(I108=0,"-",VLOOKUP(K108,ucty_synt!A:S,19,0))</f>
        <v>-</v>
      </c>
      <c r="Y108" s="6">
        <f t="shared" si="17"/>
        <v>0</v>
      </c>
      <c r="Z108" s="650" t="str">
        <f>IF(data[[#This Row],[uc_synt]]="-","-",VLOOKUP(data[[#This Row],[uc_synt]],ucty_synt!A:T,20,0))</f>
        <v>-</v>
      </c>
      <c r="AA108" s="650" t="str">
        <f>IF(COUNTIF(proc_exc!A:A,data[[#This Row],[ucet]])&gt;1,"chyba v proc_exc!",IF(COUNTIF(proc_exc!A:A,data[[#This Row],[ucet]])=1,VLOOKUP(data[[#This Row],[ucet]],proc_exc!A:E,5,0),data[[#This Row],[proces default]]))</f>
        <v>-</v>
      </c>
    </row>
    <row r="109" spans="2:27" x14ac:dyDescent="0.3">
      <c r="B109" s="36"/>
      <c r="C109" s="32"/>
      <c r="J109" s="15" t="str">
        <f t="shared" si="15"/>
        <v xml:space="preserve"> </v>
      </c>
      <c r="K109" s="3" t="str">
        <f>IF(I109=0,"-",VALUE(LEFT(D109,LEN(D109)-(INDEX!$E$13-3))))</f>
        <v>-</v>
      </c>
      <c r="L109" s="5" t="str">
        <f>IF(I109=0,"-",VLOOKUP(K109,ucty_synt!A:B,2,0))</f>
        <v>-</v>
      </c>
      <c r="M109" s="15" t="str">
        <f>IF(S109="-","-",VLOOKUP(K109,ucty_synt!A:S,3,0))</f>
        <v>-</v>
      </c>
      <c r="N109" s="15" t="str">
        <f>IF(I109=0,"-",IF(M109="Rozvaha",VLOOKUP(S109,'radky_R'!A:O,6,0),IF(M109="Výsledovka",VLOOKUP(S109,'radky_V'!A:M,6,0),"-")))</f>
        <v>-</v>
      </c>
      <c r="O109" s="3" t="str">
        <f>IF(I109=0,"-",IF(COUNTIF(ucty_synt!A:A,K109)=0,"účet n/a",IF(VLOOKUP(K109,ucty_synt!A:S,4,0)=RIGHT($P$1,5),"podle AÚ",IF(VLOOKUP(K109,ucty_synt!A:S,4,0)=RIGHT($Q$1,5),"podle SÚ",IF(SUMIF(ucty_synt!A:A,K109,ucty_synt!E:E)&lt;&gt;0,VLOOKUP(K109,ucty_synt!A:T,5,0),"doplnit")))))</f>
        <v>-</v>
      </c>
      <c r="P109" s="3" t="str">
        <f>IF(I109=0,"-",IF(VLOOKUP(K109,ucty_synt!A:S,4,0)=RIGHT($P$1,5),IF(SUMIFS(I:I,C:C,C109,D:D,D109)&gt;=0,VLOOKUP(K109,ucty_synt!A:E,5,0),VLOOKUP(K109,ucty_synt!A:L,12,0)),"-"))</f>
        <v>-</v>
      </c>
      <c r="Q109" s="3" t="str">
        <f>IF(I109=0,"-",IF(VLOOKUP(K109,ucty_synt!A:S,4,0)=RIGHT($Q$1,5),IF(SUMIFS(I:I,C:C,C109,K:K,K109)&gt;=0,VLOOKUP(K109,ucty_synt!A:E,5,0),VLOOKUP(K109,ucty_synt!A:L,12,0)),"-"))</f>
        <v>-</v>
      </c>
      <c r="R109" s="459"/>
      <c r="S109" s="8" t="str">
        <f t="shared" si="16"/>
        <v>-</v>
      </c>
      <c r="T109" s="15" t="str">
        <f>IF(S109="-","-",IF(M109="Rozvaha",VLOOKUP(S109,'radky_R'!A:O,14,0),IF(M109="Výsledovka",VLOOKUP(S109,'radky_V'!A:M,12,0),"-")))</f>
        <v>-</v>
      </c>
      <c r="U109" s="20" t="str">
        <f>IF(I109=0,"-",IF(M109="Rozvaha",VLOOKUP(S109,'radky_R'!A:O,8,0),IF(M109="Výsledovka",VLOOKUP(S109,'radky_V'!A:M,8,0),"-")))</f>
        <v>-</v>
      </c>
      <c r="V109" s="20" t="str">
        <f>IF(I109=0,"-",IF(M109="Rozvaha",VLOOKUP(S109,'radky_R'!A:O,9,0),IF(M109="Výsledovka",VLOOKUP(S109,'radky_V'!A:M,9,0),"-")))</f>
        <v>-</v>
      </c>
      <c r="W109" s="104" t="str">
        <f>IF(I109=0,"-",IF(M109="Rozvaha",VLOOKUP(S109,'radky_R'!A:O,15,0),IF(M109="Výsledovka",VLOOKUP(S109,'radky_V'!A:M,11,0),"-")))</f>
        <v>-</v>
      </c>
      <c r="X109" s="5" t="str">
        <f>IF(I109=0,"-",VLOOKUP(K109,ucty_synt!A:S,19,0))</f>
        <v>-</v>
      </c>
      <c r="Y109" s="6">
        <f t="shared" si="17"/>
        <v>0</v>
      </c>
      <c r="Z109" s="650" t="str">
        <f>IF(data[[#This Row],[uc_synt]]="-","-",VLOOKUP(data[[#This Row],[uc_synt]],ucty_synt!A:T,20,0))</f>
        <v>-</v>
      </c>
      <c r="AA109" s="650" t="str">
        <f>IF(COUNTIF(proc_exc!A:A,data[[#This Row],[ucet]])&gt;1,"chyba v proc_exc!",IF(COUNTIF(proc_exc!A:A,data[[#This Row],[ucet]])=1,VLOOKUP(data[[#This Row],[ucet]],proc_exc!A:E,5,0),data[[#This Row],[proces default]]))</f>
        <v>-</v>
      </c>
    </row>
    <row r="110" spans="2:27" x14ac:dyDescent="0.3">
      <c r="B110" s="36"/>
      <c r="C110" s="32"/>
      <c r="J110" s="15" t="str">
        <f t="shared" si="15"/>
        <v xml:space="preserve"> </v>
      </c>
      <c r="K110" s="3" t="str">
        <f>IF(I110=0,"-",VALUE(LEFT(D110,LEN(D110)-(INDEX!$E$13-3))))</f>
        <v>-</v>
      </c>
      <c r="L110" s="5" t="str">
        <f>IF(I110=0,"-",VLOOKUP(K110,ucty_synt!A:B,2,0))</f>
        <v>-</v>
      </c>
      <c r="M110" s="15" t="str">
        <f>IF(S110="-","-",VLOOKUP(K110,ucty_synt!A:S,3,0))</f>
        <v>-</v>
      </c>
      <c r="N110" s="15" t="str">
        <f>IF(I110=0,"-",IF(M110="Rozvaha",VLOOKUP(S110,'radky_R'!A:O,6,0),IF(M110="Výsledovka",VLOOKUP(S110,'radky_V'!A:M,6,0),"-")))</f>
        <v>-</v>
      </c>
      <c r="O110" s="3" t="str">
        <f>IF(I110=0,"-",IF(COUNTIF(ucty_synt!A:A,K110)=0,"účet n/a",IF(VLOOKUP(K110,ucty_synt!A:S,4,0)=RIGHT($P$1,5),"podle AÚ",IF(VLOOKUP(K110,ucty_synt!A:S,4,0)=RIGHT($Q$1,5),"podle SÚ",IF(SUMIF(ucty_synt!A:A,K110,ucty_synt!E:E)&lt;&gt;0,VLOOKUP(K110,ucty_synt!A:T,5,0),"doplnit")))))</f>
        <v>-</v>
      </c>
      <c r="P110" s="3" t="str">
        <f>IF(I110=0,"-",IF(VLOOKUP(K110,ucty_synt!A:S,4,0)=RIGHT($P$1,5),IF(SUMIFS(I:I,C:C,C110,D:D,D110)&gt;=0,VLOOKUP(K110,ucty_synt!A:E,5,0),VLOOKUP(K110,ucty_synt!A:L,12,0)),"-"))</f>
        <v>-</v>
      </c>
      <c r="Q110" s="3" t="str">
        <f>IF(I110=0,"-",IF(VLOOKUP(K110,ucty_synt!A:S,4,0)=RIGHT($Q$1,5),IF(SUMIFS(I:I,C:C,C110,K:K,K110)&gt;=0,VLOOKUP(K110,ucty_synt!A:E,5,0),VLOOKUP(K110,ucty_synt!A:L,12,0)),"-"))</f>
        <v>-</v>
      </c>
      <c r="R110" s="459"/>
      <c r="S110" s="8" t="str">
        <f t="shared" si="16"/>
        <v>-</v>
      </c>
      <c r="T110" s="15" t="str">
        <f>IF(S110="-","-",IF(M110="Rozvaha",VLOOKUP(S110,'radky_R'!A:O,14,0),IF(M110="Výsledovka",VLOOKUP(S110,'radky_V'!A:M,12,0),"-")))</f>
        <v>-</v>
      </c>
      <c r="U110" s="20" t="str">
        <f>IF(I110=0,"-",IF(M110="Rozvaha",VLOOKUP(S110,'radky_R'!A:O,8,0),IF(M110="Výsledovka",VLOOKUP(S110,'radky_V'!A:M,8,0),"-")))</f>
        <v>-</v>
      </c>
      <c r="V110" s="20" t="str">
        <f>IF(I110=0,"-",IF(M110="Rozvaha",VLOOKUP(S110,'radky_R'!A:O,9,0),IF(M110="Výsledovka",VLOOKUP(S110,'radky_V'!A:M,9,0),"-")))</f>
        <v>-</v>
      </c>
      <c r="W110" s="104" t="str">
        <f>IF(I110=0,"-",IF(M110="Rozvaha",VLOOKUP(S110,'radky_R'!A:O,15,0),IF(M110="Výsledovka",VLOOKUP(S110,'radky_V'!A:M,11,0),"-")))</f>
        <v>-</v>
      </c>
      <c r="X110" s="5" t="str">
        <f>IF(I110=0,"-",VLOOKUP(K110,ucty_synt!A:S,19,0))</f>
        <v>-</v>
      </c>
      <c r="Y110" s="6">
        <f t="shared" si="17"/>
        <v>0</v>
      </c>
      <c r="Z110" s="650" t="str">
        <f>IF(data[[#This Row],[uc_synt]]="-","-",VLOOKUP(data[[#This Row],[uc_synt]],ucty_synt!A:T,20,0))</f>
        <v>-</v>
      </c>
      <c r="AA110" s="650" t="str">
        <f>IF(COUNTIF(proc_exc!A:A,data[[#This Row],[ucet]])&gt;1,"chyba v proc_exc!",IF(COUNTIF(proc_exc!A:A,data[[#This Row],[ucet]])=1,VLOOKUP(data[[#This Row],[ucet]],proc_exc!A:E,5,0),data[[#This Row],[proces default]]))</f>
        <v>-</v>
      </c>
    </row>
    <row r="111" spans="2:27" x14ac:dyDescent="0.3">
      <c r="B111" s="36"/>
      <c r="C111" s="32"/>
      <c r="J111" s="15" t="str">
        <f t="shared" si="15"/>
        <v xml:space="preserve"> </v>
      </c>
      <c r="K111" s="3" t="str">
        <f>IF(I111=0,"-",VALUE(LEFT(D111,LEN(D111)-(INDEX!$E$13-3))))</f>
        <v>-</v>
      </c>
      <c r="L111" s="5" t="str">
        <f>IF(I111=0,"-",VLOOKUP(K111,ucty_synt!A:B,2,0))</f>
        <v>-</v>
      </c>
      <c r="M111" s="15" t="str">
        <f>IF(S111="-","-",VLOOKUP(K111,ucty_synt!A:S,3,0))</f>
        <v>-</v>
      </c>
      <c r="N111" s="15" t="str">
        <f>IF(I111=0,"-",IF(M111="Rozvaha",VLOOKUP(S111,'radky_R'!A:O,6,0),IF(M111="Výsledovka",VLOOKUP(S111,'radky_V'!A:M,6,0),"-")))</f>
        <v>-</v>
      </c>
      <c r="O111" s="3" t="str">
        <f>IF(I111=0,"-",IF(COUNTIF(ucty_synt!A:A,K111)=0,"účet n/a",IF(VLOOKUP(K111,ucty_synt!A:S,4,0)=RIGHT($P$1,5),"podle AÚ",IF(VLOOKUP(K111,ucty_synt!A:S,4,0)=RIGHT($Q$1,5),"podle SÚ",IF(SUMIF(ucty_synt!A:A,K111,ucty_synt!E:E)&lt;&gt;0,VLOOKUP(K111,ucty_synt!A:T,5,0),"doplnit")))))</f>
        <v>-</v>
      </c>
      <c r="P111" s="3" t="str">
        <f>IF(I111=0,"-",IF(VLOOKUP(K111,ucty_synt!A:S,4,0)=RIGHT($P$1,5),IF(SUMIFS(I:I,C:C,C111,D:D,D111)&gt;=0,VLOOKUP(K111,ucty_synt!A:E,5,0),VLOOKUP(K111,ucty_synt!A:L,12,0)),"-"))</f>
        <v>-</v>
      </c>
      <c r="Q111" s="3" t="str">
        <f>IF(I111=0,"-",IF(VLOOKUP(K111,ucty_synt!A:S,4,0)=RIGHT($Q$1,5),IF(SUMIFS(I:I,C:C,C111,K:K,K111)&gt;=0,VLOOKUP(K111,ucty_synt!A:E,5,0),VLOOKUP(K111,ucty_synt!A:L,12,0)),"-"))</f>
        <v>-</v>
      </c>
      <c r="R111" s="459"/>
      <c r="S111" s="8" t="str">
        <f t="shared" si="16"/>
        <v>-</v>
      </c>
      <c r="T111" s="15" t="str">
        <f>IF(S111="-","-",IF(M111="Rozvaha",VLOOKUP(S111,'radky_R'!A:O,14,0),IF(M111="Výsledovka",VLOOKUP(S111,'radky_V'!A:M,12,0),"-")))</f>
        <v>-</v>
      </c>
      <c r="U111" s="20" t="str">
        <f>IF(I111=0,"-",IF(M111="Rozvaha",VLOOKUP(S111,'radky_R'!A:O,8,0),IF(M111="Výsledovka",VLOOKUP(S111,'radky_V'!A:M,8,0),"-")))</f>
        <v>-</v>
      </c>
      <c r="V111" s="20" t="str">
        <f>IF(I111=0,"-",IF(M111="Rozvaha",VLOOKUP(S111,'radky_R'!A:O,9,0),IF(M111="Výsledovka",VLOOKUP(S111,'radky_V'!A:M,9,0),"-")))</f>
        <v>-</v>
      </c>
      <c r="W111" s="104" t="str">
        <f>IF(I111=0,"-",IF(M111="Rozvaha",VLOOKUP(S111,'radky_R'!A:O,15,0),IF(M111="Výsledovka",VLOOKUP(S111,'radky_V'!A:M,11,0),"-")))</f>
        <v>-</v>
      </c>
      <c r="X111" s="5" t="str">
        <f>IF(I111=0,"-",VLOOKUP(K111,ucty_synt!A:S,19,0))</f>
        <v>-</v>
      </c>
      <c r="Y111" s="6">
        <f t="shared" si="17"/>
        <v>0</v>
      </c>
      <c r="Z111" s="650" t="str">
        <f>IF(data[[#This Row],[uc_synt]]="-","-",VLOOKUP(data[[#This Row],[uc_synt]],ucty_synt!A:T,20,0))</f>
        <v>-</v>
      </c>
      <c r="AA111" s="650" t="str">
        <f>IF(COUNTIF(proc_exc!A:A,data[[#This Row],[ucet]])&gt;1,"chyba v proc_exc!",IF(COUNTIF(proc_exc!A:A,data[[#This Row],[ucet]])=1,VLOOKUP(data[[#This Row],[ucet]],proc_exc!A:E,5,0),data[[#This Row],[proces default]]))</f>
        <v>-</v>
      </c>
    </row>
    <row r="112" spans="2:27" x14ac:dyDescent="0.3">
      <c r="B112" s="36"/>
      <c r="C112" s="32"/>
      <c r="J112" s="15" t="str">
        <f t="shared" si="15"/>
        <v xml:space="preserve"> </v>
      </c>
      <c r="K112" s="3" t="str">
        <f>IF(I112=0,"-",VALUE(LEFT(D112,LEN(D112)-(INDEX!$E$13-3))))</f>
        <v>-</v>
      </c>
      <c r="L112" s="5" t="str">
        <f>IF(I112=0,"-",VLOOKUP(K112,ucty_synt!A:B,2,0))</f>
        <v>-</v>
      </c>
      <c r="M112" s="15" t="str">
        <f>IF(S112="-","-",VLOOKUP(K112,ucty_synt!A:S,3,0))</f>
        <v>-</v>
      </c>
      <c r="N112" s="15" t="str">
        <f>IF(I112=0,"-",IF(M112="Rozvaha",VLOOKUP(S112,'radky_R'!A:O,6,0),IF(M112="Výsledovka",VLOOKUP(S112,'radky_V'!A:M,6,0),"-")))</f>
        <v>-</v>
      </c>
      <c r="O112" s="3" t="str">
        <f>IF(I112=0,"-",IF(COUNTIF(ucty_synt!A:A,K112)=0,"účet n/a",IF(VLOOKUP(K112,ucty_synt!A:S,4,0)=RIGHT($P$1,5),"podle AÚ",IF(VLOOKUP(K112,ucty_synt!A:S,4,0)=RIGHT($Q$1,5),"podle SÚ",IF(SUMIF(ucty_synt!A:A,K112,ucty_synt!E:E)&lt;&gt;0,VLOOKUP(K112,ucty_synt!A:T,5,0),"doplnit")))))</f>
        <v>-</v>
      </c>
      <c r="P112" s="3" t="str">
        <f>IF(I112=0,"-",IF(VLOOKUP(K112,ucty_synt!A:S,4,0)=RIGHT($P$1,5),IF(SUMIFS(I:I,C:C,C112,D:D,D112)&gt;=0,VLOOKUP(K112,ucty_synt!A:E,5,0),VLOOKUP(K112,ucty_synt!A:L,12,0)),"-"))</f>
        <v>-</v>
      </c>
      <c r="Q112" s="3" t="str">
        <f>IF(I112=0,"-",IF(VLOOKUP(K112,ucty_synt!A:S,4,0)=RIGHT($Q$1,5),IF(SUMIFS(I:I,C:C,C112,K:K,K112)&gt;=0,VLOOKUP(K112,ucty_synt!A:E,5,0),VLOOKUP(K112,ucty_synt!A:L,12,0)),"-"))</f>
        <v>-</v>
      </c>
      <c r="R112" s="459"/>
      <c r="S112" s="8" t="str">
        <f t="shared" si="16"/>
        <v>-</v>
      </c>
      <c r="T112" s="15" t="str">
        <f>IF(S112="-","-",IF(M112="Rozvaha",VLOOKUP(S112,'radky_R'!A:O,14,0),IF(M112="Výsledovka",VLOOKUP(S112,'radky_V'!A:M,12,0),"-")))</f>
        <v>-</v>
      </c>
      <c r="U112" s="20" t="str">
        <f>IF(I112=0,"-",IF(M112="Rozvaha",VLOOKUP(S112,'radky_R'!A:O,8,0),IF(M112="Výsledovka",VLOOKUP(S112,'radky_V'!A:M,8,0),"-")))</f>
        <v>-</v>
      </c>
      <c r="V112" s="20" t="str">
        <f>IF(I112=0,"-",IF(M112="Rozvaha",VLOOKUP(S112,'radky_R'!A:O,9,0),IF(M112="Výsledovka",VLOOKUP(S112,'radky_V'!A:M,9,0),"-")))</f>
        <v>-</v>
      </c>
      <c r="W112" s="104" t="str">
        <f>IF(I112=0,"-",IF(M112="Rozvaha",VLOOKUP(S112,'radky_R'!A:O,15,0),IF(M112="Výsledovka",VLOOKUP(S112,'radky_V'!A:M,11,0),"-")))</f>
        <v>-</v>
      </c>
      <c r="X112" s="5" t="str">
        <f>IF(I112=0,"-",VLOOKUP(K112,ucty_synt!A:S,19,0))</f>
        <v>-</v>
      </c>
      <c r="Y112" s="6">
        <f t="shared" si="17"/>
        <v>0</v>
      </c>
      <c r="Z112" s="650" t="str">
        <f>IF(data[[#This Row],[uc_synt]]="-","-",VLOOKUP(data[[#This Row],[uc_synt]],ucty_synt!A:T,20,0))</f>
        <v>-</v>
      </c>
      <c r="AA112" s="650" t="str">
        <f>IF(COUNTIF(proc_exc!A:A,data[[#This Row],[ucet]])&gt;1,"chyba v proc_exc!",IF(COUNTIF(proc_exc!A:A,data[[#This Row],[ucet]])=1,VLOOKUP(data[[#This Row],[ucet]],proc_exc!A:E,5,0),data[[#This Row],[proces default]]))</f>
        <v>-</v>
      </c>
    </row>
    <row r="113" spans="2:27" x14ac:dyDescent="0.3">
      <c r="B113" s="36"/>
      <c r="C113" s="32"/>
      <c r="J113" s="15" t="str">
        <f t="shared" si="15"/>
        <v xml:space="preserve"> </v>
      </c>
      <c r="K113" s="3" t="str">
        <f>IF(I113=0,"-",VALUE(LEFT(D113,LEN(D113)-(INDEX!$E$13-3))))</f>
        <v>-</v>
      </c>
      <c r="L113" s="5" t="str">
        <f>IF(I113=0,"-",VLOOKUP(K113,ucty_synt!A:B,2,0))</f>
        <v>-</v>
      </c>
      <c r="M113" s="15" t="str">
        <f>IF(S113="-","-",VLOOKUP(K113,ucty_synt!A:S,3,0))</f>
        <v>-</v>
      </c>
      <c r="N113" s="15" t="str">
        <f>IF(I113=0,"-",IF(M113="Rozvaha",VLOOKUP(S113,'radky_R'!A:O,6,0),IF(M113="Výsledovka",VLOOKUP(S113,'radky_V'!A:M,6,0),"-")))</f>
        <v>-</v>
      </c>
      <c r="O113" s="3" t="str">
        <f>IF(I113=0,"-",IF(COUNTIF(ucty_synt!A:A,K113)=0,"účet n/a",IF(VLOOKUP(K113,ucty_synt!A:S,4,0)=RIGHT($P$1,5),"podle AÚ",IF(VLOOKUP(K113,ucty_synt!A:S,4,0)=RIGHT($Q$1,5),"podle SÚ",IF(SUMIF(ucty_synt!A:A,K113,ucty_synt!E:E)&lt;&gt;0,VLOOKUP(K113,ucty_synt!A:T,5,0),"doplnit")))))</f>
        <v>-</v>
      </c>
      <c r="P113" s="3" t="str">
        <f>IF(I113=0,"-",IF(VLOOKUP(K113,ucty_synt!A:S,4,0)=RIGHT($P$1,5),IF(SUMIFS(I:I,C:C,C113,D:D,D113)&gt;=0,VLOOKUP(K113,ucty_synt!A:E,5,0),VLOOKUP(K113,ucty_synt!A:L,12,0)),"-"))</f>
        <v>-</v>
      </c>
      <c r="Q113" s="3" t="str">
        <f>IF(I113=0,"-",IF(VLOOKUP(K113,ucty_synt!A:S,4,0)=RIGHT($Q$1,5),IF(SUMIFS(I:I,C:C,C113,K:K,K113)&gt;=0,VLOOKUP(K113,ucty_synt!A:E,5,0),VLOOKUP(K113,ucty_synt!A:L,12,0)),"-"))</f>
        <v>-</v>
      </c>
      <c r="R113" s="459"/>
      <c r="S113" s="8" t="str">
        <f t="shared" si="16"/>
        <v>-</v>
      </c>
      <c r="T113" s="15" t="str">
        <f>IF(S113="-","-",IF(M113="Rozvaha",VLOOKUP(S113,'radky_R'!A:O,14,0),IF(M113="Výsledovka",VLOOKUP(S113,'radky_V'!A:M,12,0),"-")))</f>
        <v>-</v>
      </c>
      <c r="U113" s="20" t="str">
        <f>IF(I113=0,"-",IF(M113="Rozvaha",VLOOKUP(S113,'radky_R'!A:O,8,0),IF(M113="Výsledovka",VLOOKUP(S113,'radky_V'!A:M,8,0),"-")))</f>
        <v>-</v>
      </c>
      <c r="V113" s="20" t="str">
        <f>IF(I113=0,"-",IF(M113="Rozvaha",VLOOKUP(S113,'radky_R'!A:O,9,0),IF(M113="Výsledovka",VLOOKUP(S113,'radky_V'!A:M,9,0),"-")))</f>
        <v>-</v>
      </c>
      <c r="W113" s="104" t="str">
        <f>IF(I113=0,"-",IF(M113="Rozvaha",VLOOKUP(S113,'radky_R'!A:O,15,0),IF(M113="Výsledovka",VLOOKUP(S113,'radky_V'!A:M,11,0),"-")))</f>
        <v>-</v>
      </c>
      <c r="X113" s="5" t="str">
        <f>IF(I113=0,"-",VLOOKUP(K113,ucty_synt!A:S,19,0))</f>
        <v>-</v>
      </c>
      <c r="Y113" s="6">
        <f t="shared" si="17"/>
        <v>0</v>
      </c>
      <c r="Z113" s="650" t="str">
        <f>IF(data[[#This Row],[uc_synt]]="-","-",VLOOKUP(data[[#This Row],[uc_synt]],ucty_synt!A:T,20,0))</f>
        <v>-</v>
      </c>
      <c r="AA113" s="650" t="str">
        <f>IF(COUNTIF(proc_exc!A:A,data[[#This Row],[ucet]])&gt;1,"chyba v proc_exc!",IF(COUNTIF(proc_exc!A:A,data[[#This Row],[ucet]])=1,VLOOKUP(data[[#This Row],[ucet]],proc_exc!A:E,5,0),data[[#This Row],[proces default]]))</f>
        <v>-</v>
      </c>
    </row>
    <row r="114" spans="2:27" x14ac:dyDescent="0.3">
      <c r="B114" s="36"/>
      <c r="C114" s="32"/>
      <c r="J114" s="15" t="str">
        <f t="shared" si="15"/>
        <v xml:space="preserve"> </v>
      </c>
      <c r="K114" s="3" t="str">
        <f>IF(I114=0,"-",VALUE(LEFT(D114,LEN(D114)-(INDEX!$E$13-3))))</f>
        <v>-</v>
      </c>
      <c r="L114" s="5" t="str">
        <f>IF(I114=0,"-",VLOOKUP(K114,ucty_synt!A:B,2,0))</f>
        <v>-</v>
      </c>
      <c r="M114" s="15" t="str">
        <f>IF(S114="-","-",VLOOKUP(K114,ucty_synt!A:S,3,0))</f>
        <v>-</v>
      </c>
      <c r="N114" s="15" t="str">
        <f>IF(I114=0,"-",IF(M114="Rozvaha",VLOOKUP(S114,'radky_R'!A:O,6,0),IF(M114="Výsledovka",VLOOKUP(S114,'radky_V'!A:M,6,0),"-")))</f>
        <v>-</v>
      </c>
      <c r="O114" s="3" t="str">
        <f>IF(I114=0,"-",IF(COUNTIF(ucty_synt!A:A,K114)=0,"účet n/a",IF(VLOOKUP(K114,ucty_synt!A:S,4,0)=RIGHT($P$1,5),"podle AÚ",IF(VLOOKUP(K114,ucty_synt!A:S,4,0)=RIGHT($Q$1,5),"podle SÚ",IF(SUMIF(ucty_synt!A:A,K114,ucty_synt!E:E)&lt;&gt;0,VLOOKUP(K114,ucty_synt!A:T,5,0),"doplnit")))))</f>
        <v>-</v>
      </c>
      <c r="P114" s="3" t="str">
        <f>IF(I114=0,"-",IF(VLOOKUP(K114,ucty_synt!A:S,4,0)=RIGHT($P$1,5),IF(SUMIFS(I:I,C:C,C114,D:D,D114)&gt;=0,VLOOKUP(K114,ucty_synt!A:E,5,0),VLOOKUP(K114,ucty_synt!A:L,12,0)),"-"))</f>
        <v>-</v>
      </c>
      <c r="Q114" s="3" t="str">
        <f>IF(I114=0,"-",IF(VLOOKUP(K114,ucty_synt!A:S,4,0)=RIGHT($Q$1,5),IF(SUMIFS(I:I,C:C,C114,K:K,K114)&gt;=0,VLOOKUP(K114,ucty_synt!A:E,5,0),VLOOKUP(K114,ucty_synt!A:L,12,0)),"-"))</f>
        <v>-</v>
      </c>
      <c r="R114" s="459"/>
      <c r="S114" s="8" t="str">
        <f t="shared" si="16"/>
        <v>-</v>
      </c>
      <c r="T114" s="15" t="str">
        <f>IF(S114="-","-",IF(M114="Rozvaha",VLOOKUP(S114,'radky_R'!A:O,14,0),IF(M114="Výsledovka",VLOOKUP(S114,'radky_V'!A:M,12,0),"-")))</f>
        <v>-</v>
      </c>
      <c r="U114" s="20" t="str">
        <f>IF(I114=0,"-",IF(M114="Rozvaha",VLOOKUP(S114,'radky_R'!A:O,8,0),IF(M114="Výsledovka",VLOOKUP(S114,'radky_V'!A:M,8,0),"-")))</f>
        <v>-</v>
      </c>
      <c r="V114" s="20" t="str">
        <f>IF(I114=0,"-",IF(M114="Rozvaha",VLOOKUP(S114,'radky_R'!A:O,9,0),IF(M114="Výsledovka",VLOOKUP(S114,'radky_V'!A:M,9,0),"-")))</f>
        <v>-</v>
      </c>
      <c r="W114" s="104" t="str">
        <f>IF(I114=0,"-",IF(M114="Rozvaha",VLOOKUP(S114,'radky_R'!A:O,15,0),IF(M114="Výsledovka",VLOOKUP(S114,'radky_V'!A:M,11,0),"-")))</f>
        <v>-</v>
      </c>
      <c r="X114" s="5" t="str">
        <f>IF(I114=0,"-",VLOOKUP(K114,ucty_synt!A:S,19,0))</f>
        <v>-</v>
      </c>
      <c r="Y114" s="6">
        <f t="shared" si="17"/>
        <v>0</v>
      </c>
      <c r="Z114" s="650" t="str">
        <f>IF(data[[#This Row],[uc_synt]]="-","-",VLOOKUP(data[[#This Row],[uc_synt]],ucty_synt!A:T,20,0))</f>
        <v>-</v>
      </c>
      <c r="AA114" s="650" t="str">
        <f>IF(COUNTIF(proc_exc!A:A,data[[#This Row],[ucet]])&gt;1,"chyba v proc_exc!",IF(COUNTIF(proc_exc!A:A,data[[#This Row],[ucet]])=1,VLOOKUP(data[[#This Row],[ucet]],proc_exc!A:E,5,0),data[[#This Row],[proces default]]))</f>
        <v>-</v>
      </c>
    </row>
    <row r="115" spans="2:27" x14ac:dyDescent="0.3">
      <c r="B115" s="36"/>
      <c r="C115" s="32"/>
      <c r="J115" s="15" t="str">
        <f t="shared" si="15"/>
        <v xml:space="preserve"> </v>
      </c>
      <c r="K115" s="3" t="str">
        <f>IF(I115=0,"-",VALUE(LEFT(D115,LEN(D115)-(INDEX!$E$13-3))))</f>
        <v>-</v>
      </c>
      <c r="L115" s="5" t="str">
        <f>IF(I115=0,"-",VLOOKUP(K115,ucty_synt!A:B,2,0))</f>
        <v>-</v>
      </c>
      <c r="M115" s="15" t="str">
        <f>IF(S115="-","-",VLOOKUP(K115,ucty_synt!A:S,3,0))</f>
        <v>-</v>
      </c>
      <c r="N115" s="15" t="str">
        <f>IF(I115=0,"-",IF(M115="Rozvaha",VLOOKUP(S115,'radky_R'!A:O,6,0),IF(M115="Výsledovka",VLOOKUP(S115,'radky_V'!A:M,6,0),"-")))</f>
        <v>-</v>
      </c>
      <c r="O115" s="3" t="str">
        <f>IF(I115=0,"-",IF(COUNTIF(ucty_synt!A:A,K115)=0,"účet n/a",IF(VLOOKUP(K115,ucty_synt!A:S,4,0)=RIGHT($P$1,5),"podle AÚ",IF(VLOOKUP(K115,ucty_synt!A:S,4,0)=RIGHT($Q$1,5),"podle SÚ",IF(SUMIF(ucty_synt!A:A,K115,ucty_synt!E:E)&lt;&gt;0,VLOOKUP(K115,ucty_synt!A:T,5,0),"doplnit")))))</f>
        <v>-</v>
      </c>
      <c r="P115" s="3" t="str">
        <f>IF(I115=0,"-",IF(VLOOKUP(K115,ucty_synt!A:S,4,0)=RIGHT($P$1,5),IF(SUMIFS(I:I,C:C,C115,D:D,D115)&gt;=0,VLOOKUP(K115,ucty_synt!A:E,5,0),VLOOKUP(K115,ucty_synt!A:L,12,0)),"-"))</f>
        <v>-</v>
      </c>
      <c r="Q115" s="3" t="str">
        <f>IF(I115=0,"-",IF(VLOOKUP(K115,ucty_synt!A:S,4,0)=RIGHT($Q$1,5),IF(SUMIFS(I:I,C:C,C115,K:K,K115)&gt;=0,VLOOKUP(K115,ucty_synt!A:E,5,0),VLOOKUP(K115,ucty_synt!A:L,12,0)),"-"))</f>
        <v>-</v>
      </c>
      <c r="R115" s="459"/>
      <c r="S115" s="8" t="str">
        <f t="shared" si="16"/>
        <v>-</v>
      </c>
      <c r="T115" s="15" t="str">
        <f>IF(S115="-","-",IF(M115="Rozvaha",VLOOKUP(S115,'radky_R'!A:O,14,0),IF(M115="Výsledovka",VLOOKUP(S115,'radky_V'!A:M,12,0),"-")))</f>
        <v>-</v>
      </c>
      <c r="U115" s="20" t="str">
        <f>IF(I115=0,"-",IF(M115="Rozvaha",VLOOKUP(S115,'radky_R'!A:O,8,0),IF(M115="Výsledovka",VLOOKUP(S115,'radky_V'!A:M,8,0),"-")))</f>
        <v>-</v>
      </c>
      <c r="V115" s="20" t="str">
        <f>IF(I115=0,"-",IF(M115="Rozvaha",VLOOKUP(S115,'radky_R'!A:O,9,0),IF(M115="Výsledovka",VLOOKUP(S115,'radky_V'!A:M,9,0),"-")))</f>
        <v>-</v>
      </c>
      <c r="W115" s="104" t="str">
        <f>IF(I115=0,"-",IF(M115="Rozvaha",VLOOKUP(S115,'radky_R'!A:O,15,0),IF(M115="Výsledovka",VLOOKUP(S115,'radky_V'!A:M,11,0),"-")))</f>
        <v>-</v>
      </c>
      <c r="X115" s="5" t="str">
        <f>IF(I115=0,"-",VLOOKUP(K115,ucty_synt!A:S,19,0))</f>
        <v>-</v>
      </c>
      <c r="Y115" s="6">
        <f t="shared" si="17"/>
        <v>0</v>
      </c>
      <c r="Z115" s="650" t="str">
        <f>IF(data[[#This Row],[uc_synt]]="-","-",VLOOKUP(data[[#This Row],[uc_synt]],ucty_synt!A:T,20,0))</f>
        <v>-</v>
      </c>
      <c r="AA115" s="650" t="str">
        <f>IF(COUNTIF(proc_exc!A:A,data[[#This Row],[ucet]])&gt;1,"chyba v proc_exc!",IF(COUNTIF(proc_exc!A:A,data[[#This Row],[ucet]])=1,VLOOKUP(data[[#This Row],[ucet]],proc_exc!A:E,5,0),data[[#This Row],[proces default]]))</f>
        <v>-</v>
      </c>
    </row>
    <row r="116" spans="2:27" x14ac:dyDescent="0.3">
      <c r="B116" s="36"/>
      <c r="C116" s="32"/>
      <c r="J116" s="15" t="str">
        <f t="shared" si="15"/>
        <v xml:space="preserve"> </v>
      </c>
      <c r="K116" s="3" t="str">
        <f>IF(I116=0,"-",VALUE(LEFT(D116,LEN(D116)-(INDEX!$E$13-3))))</f>
        <v>-</v>
      </c>
      <c r="L116" s="5" t="str">
        <f>IF(I116=0,"-",VLOOKUP(K116,ucty_synt!A:B,2,0))</f>
        <v>-</v>
      </c>
      <c r="M116" s="15" t="str">
        <f>IF(S116="-","-",VLOOKUP(K116,ucty_synt!A:S,3,0))</f>
        <v>-</v>
      </c>
      <c r="N116" s="15" t="str">
        <f>IF(I116=0,"-",IF(M116="Rozvaha",VLOOKUP(S116,'radky_R'!A:O,6,0),IF(M116="Výsledovka",VLOOKUP(S116,'radky_V'!A:M,6,0),"-")))</f>
        <v>-</v>
      </c>
      <c r="O116" s="3" t="str">
        <f>IF(I116=0,"-",IF(COUNTIF(ucty_synt!A:A,K116)=0,"účet n/a",IF(VLOOKUP(K116,ucty_synt!A:S,4,0)=RIGHT($P$1,5),"podle AÚ",IF(VLOOKUP(K116,ucty_synt!A:S,4,0)=RIGHT($Q$1,5),"podle SÚ",IF(SUMIF(ucty_synt!A:A,K116,ucty_synt!E:E)&lt;&gt;0,VLOOKUP(K116,ucty_synt!A:T,5,0),"doplnit")))))</f>
        <v>-</v>
      </c>
      <c r="P116" s="3" t="str">
        <f>IF(I116=0,"-",IF(VLOOKUP(K116,ucty_synt!A:S,4,0)=RIGHT($P$1,5),IF(SUMIFS(I:I,C:C,C116,D:D,D116)&gt;=0,VLOOKUP(K116,ucty_synt!A:E,5,0),VLOOKUP(K116,ucty_synt!A:L,12,0)),"-"))</f>
        <v>-</v>
      </c>
      <c r="Q116" s="3" t="str">
        <f>IF(I116=0,"-",IF(VLOOKUP(K116,ucty_synt!A:S,4,0)=RIGHT($Q$1,5),IF(SUMIFS(I:I,C:C,C116,K:K,K116)&gt;=0,VLOOKUP(K116,ucty_synt!A:E,5,0),VLOOKUP(K116,ucty_synt!A:L,12,0)),"-"))</f>
        <v>-</v>
      </c>
      <c r="R116" s="459"/>
      <c r="S116" s="8" t="str">
        <f t="shared" si="16"/>
        <v>-</v>
      </c>
      <c r="T116" s="15" t="str">
        <f>IF(S116="-","-",IF(M116="Rozvaha",VLOOKUP(S116,'radky_R'!A:O,14,0),IF(M116="Výsledovka",VLOOKUP(S116,'radky_V'!A:M,12,0),"-")))</f>
        <v>-</v>
      </c>
      <c r="U116" s="20" t="str">
        <f>IF(I116=0,"-",IF(M116="Rozvaha",VLOOKUP(S116,'radky_R'!A:O,8,0),IF(M116="Výsledovka",VLOOKUP(S116,'radky_V'!A:M,8,0),"-")))</f>
        <v>-</v>
      </c>
      <c r="V116" s="20" t="str">
        <f>IF(I116=0,"-",IF(M116="Rozvaha",VLOOKUP(S116,'radky_R'!A:O,9,0),IF(M116="Výsledovka",VLOOKUP(S116,'radky_V'!A:M,9,0),"-")))</f>
        <v>-</v>
      </c>
      <c r="W116" s="104" t="str">
        <f>IF(I116=0,"-",IF(M116="Rozvaha",VLOOKUP(S116,'radky_R'!A:O,15,0),IF(M116="Výsledovka",VLOOKUP(S116,'radky_V'!A:M,11,0),"-")))</f>
        <v>-</v>
      </c>
      <c r="X116" s="5" t="str">
        <f>IF(I116=0,"-",VLOOKUP(K116,ucty_synt!A:S,19,0))</f>
        <v>-</v>
      </c>
      <c r="Y116" s="6">
        <f t="shared" si="17"/>
        <v>0</v>
      </c>
      <c r="Z116" s="650" t="str">
        <f>IF(data[[#This Row],[uc_synt]]="-","-",VLOOKUP(data[[#This Row],[uc_synt]],ucty_synt!A:T,20,0))</f>
        <v>-</v>
      </c>
      <c r="AA116" s="650" t="str">
        <f>IF(COUNTIF(proc_exc!A:A,data[[#This Row],[ucet]])&gt;1,"chyba v proc_exc!",IF(COUNTIF(proc_exc!A:A,data[[#This Row],[ucet]])=1,VLOOKUP(data[[#This Row],[ucet]],proc_exc!A:E,5,0),data[[#This Row],[proces default]]))</f>
        <v>-</v>
      </c>
    </row>
    <row r="117" spans="2:27" x14ac:dyDescent="0.3">
      <c r="B117" s="36"/>
      <c r="C117" s="32"/>
      <c r="J117" s="15" t="str">
        <f t="shared" si="15"/>
        <v xml:space="preserve"> </v>
      </c>
      <c r="K117" s="3" t="str">
        <f>IF(I117=0,"-",VALUE(LEFT(D117,LEN(D117)-(INDEX!$E$13-3))))</f>
        <v>-</v>
      </c>
      <c r="L117" s="5" t="str">
        <f>IF(I117=0,"-",VLOOKUP(K117,ucty_synt!A:B,2,0))</f>
        <v>-</v>
      </c>
      <c r="M117" s="15" t="str">
        <f>IF(S117="-","-",VLOOKUP(K117,ucty_synt!A:S,3,0))</f>
        <v>-</v>
      </c>
      <c r="N117" s="15" t="str">
        <f>IF(I117=0,"-",IF(M117="Rozvaha",VLOOKUP(S117,'radky_R'!A:O,6,0),IF(M117="Výsledovka",VLOOKUP(S117,'radky_V'!A:M,6,0),"-")))</f>
        <v>-</v>
      </c>
      <c r="O117" s="3" t="str">
        <f>IF(I117=0,"-",IF(COUNTIF(ucty_synt!A:A,K117)=0,"účet n/a",IF(VLOOKUP(K117,ucty_synt!A:S,4,0)=RIGHT($P$1,5),"podle AÚ",IF(VLOOKUP(K117,ucty_synt!A:S,4,0)=RIGHT($Q$1,5),"podle SÚ",IF(SUMIF(ucty_synt!A:A,K117,ucty_synt!E:E)&lt;&gt;0,VLOOKUP(K117,ucty_synt!A:T,5,0),"doplnit")))))</f>
        <v>-</v>
      </c>
      <c r="P117" s="3" t="str">
        <f>IF(I117=0,"-",IF(VLOOKUP(K117,ucty_synt!A:S,4,0)=RIGHT($P$1,5),IF(SUMIFS(I:I,C:C,C117,D:D,D117)&gt;=0,VLOOKUP(K117,ucty_synt!A:E,5,0),VLOOKUP(K117,ucty_synt!A:L,12,0)),"-"))</f>
        <v>-</v>
      </c>
      <c r="Q117" s="3" t="str">
        <f>IF(I117=0,"-",IF(VLOOKUP(K117,ucty_synt!A:S,4,0)=RIGHT($Q$1,5),IF(SUMIFS(I:I,C:C,C117,K:K,K117)&gt;=0,VLOOKUP(K117,ucty_synt!A:E,5,0),VLOOKUP(K117,ucty_synt!A:L,12,0)),"-"))</f>
        <v>-</v>
      </c>
      <c r="R117" s="459"/>
      <c r="S117" s="8" t="str">
        <f t="shared" si="16"/>
        <v>-</v>
      </c>
      <c r="T117" s="15" t="str">
        <f>IF(S117="-","-",IF(M117="Rozvaha",VLOOKUP(S117,'radky_R'!A:O,14,0),IF(M117="Výsledovka",VLOOKUP(S117,'radky_V'!A:M,12,0),"-")))</f>
        <v>-</v>
      </c>
      <c r="U117" s="20" t="str">
        <f>IF(I117=0,"-",IF(M117="Rozvaha",VLOOKUP(S117,'radky_R'!A:O,8,0),IF(M117="Výsledovka",VLOOKUP(S117,'radky_V'!A:M,8,0),"-")))</f>
        <v>-</v>
      </c>
      <c r="V117" s="20" t="str">
        <f>IF(I117=0,"-",IF(M117="Rozvaha",VLOOKUP(S117,'radky_R'!A:O,9,0),IF(M117="Výsledovka",VLOOKUP(S117,'radky_V'!A:M,9,0),"-")))</f>
        <v>-</v>
      </c>
      <c r="W117" s="104" t="str">
        <f>IF(I117=0,"-",IF(M117="Rozvaha",VLOOKUP(S117,'radky_R'!A:O,15,0),IF(M117="Výsledovka",VLOOKUP(S117,'radky_V'!A:M,11,0),"-")))</f>
        <v>-</v>
      </c>
      <c r="X117" s="5" t="str">
        <f>IF(I117=0,"-",VLOOKUP(K117,ucty_synt!A:S,19,0))</f>
        <v>-</v>
      </c>
      <c r="Y117" s="6">
        <f t="shared" si="17"/>
        <v>0</v>
      </c>
      <c r="Z117" s="650" t="str">
        <f>IF(data[[#This Row],[uc_synt]]="-","-",VLOOKUP(data[[#This Row],[uc_synt]],ucty_synt!A:T,20,0))</f>
        <v>-</v>
      </c>
      <c r="AA117" s="650" t="str">
        <f>IF(COUNTIF(proc_exc!A:A,data[[#This Row],[ucet]])&gt;1,"chyba v proc_exc!",IF(COUNTIF(proc_exc!A:A,data[[#This Row],[ucet]])=1,VLOOKUP(data[[#This Row],[ucet]],proc_exc!A:E,5,0),data[[#This Row],[proces default]]))</f>
        <v>-</v>
      </c>
    </row>
    <row r="118" spans="2:27" x14ac:dyDescent="0.3">
      <c r="B118" s="36"/>
      <c r="C118" s="32"/>
      <c r="J118" s="15" t="str">
        <f t="shared" si="15"/>
        <v xml:space="preserve"> </v>
      </c>
      <c r="K118" s="3" t="str">
        <f>IF(I118=0,"-",VALUE(LEFT(D118,LEN(D118)-(INDEX!$E$13-3))))</f>
        <v>-</v>
      </c>
      <c r="L118" s="5" t="str">
        <f>IF(I118=0,"-",VLOOKUP(K118,ucty_synt!A:B,2,0))</f>
        <v>-</v>
      </c>
      <c r="M118" s="15" t="str">
        <f>IF(S118="-","-",VLOOKUP(K118,ucty_synt!A:S,3,0))</f>
        <v>-</v>
      </c>
      <c r="N118" s="15" t="str">
        <f>IF(I118=0,"-",IF(M118="Rozvaha",VLOOKUP(S118,'radky_R'!A:O,6,0),IF(M118="Výsledovka",VLOOKUP(S118,'radky_V'!A:M,6,0),"-")))</f>
        <v>-</v>
      </c>
      <c r="O118" s="3" t="str">
        <f>IF(I118=0,"-",IF(COUNTIF(ucty_synt!A:A,K118)=0,"účet n/a",IF(VLOOKUP(K118,ucty_synt!A:S,4,0)=RIGHT($P$1,5),"podle AÚ",IF(VLOOKUP(K118,ucty_synt!A:S,4,0)=RIGHT($Q$1,5),"podle SÚ",IF(SUMIF(ucty_synt!A:A,K118,ucty_synt!E:E)&lt;&gt;0,VLOOKUP(K118,ucty_synt!A:T,5,0),"doplnit")))))</f>
        <v>-</v>
      </c>
      <c r="P118" s="3" t="str">
        <f>IF(I118=0,"-",IF(VLOOKUP(K118,ucty_synt!A:S,4,0)=RIGHT($P$1,5),IF(SUMIFS(I:I,C:C,C118,D:D,D118)&gt;=0,VLOOKUP(K118,ucty_synt!A:E,5,0),VLOOKUP(K118,ucty_synt!A:L,12,0)),"-"))</f>
        <v>-</v>
      </c>
      <c r="Q118" s="3" t="str">
        <f>IF(I118=0,"-",IF(VLOOKUP(K118,ucty_synt!A:S,4,0)=RIGHT($Q$1,5),IF(SUMIFS(I:I,C:C,C118,K:K,K118)&gt;=0,VLOOKUP(K118,ucty_synt!A:E,5,0),VLOOKUP(K118,ucty_synt!A:L,12,0)),"-"))</f>
        <v>-</v>
      </c>
      <c r="R118" s="459"/>
      <c r="S118" s="8" t="str">
        <f t="shared" si="16"/>
        <v>-</v>
      </c>
      <c r="T118" s="15" t="str">
        <f>IF(S118="-","-",IF(M118="Rozvaha",VLOOKUP(S118,'radky_R'!A:O,14,0),IF(M118="Výsledovka",VLOOKUP(S118,'radky_V'!A:M,12,0),"-")))</f>
        <v>-</v>
      </c>
      <c r="U118" s="20" t="str">
        <f>IF(I118=0,"-",IF(M118="Rozvaha",VLOOKUP(S118,'radky_R'!A:O,8,0),IF(M118="Výsledovka",VLOOKUP(S118,'radky_V'!A:M,8,0),"-")))</f>
        <v>-</v>
      </c>
      <c r="V118" s="20" t="str">
        <f>IF(I118=0,"-",IF(M118="Rozvaha",VLOOKUP(S118,'radky_R'!A:O,9,0),IF(M118="Výsledovka",VLOOKUP(S118,'radky_V'!A:M,9,0),"-")))</f>
        <v>-</v>
      </c>
      <c r="W118" s="104" t="str">
        <f>IF(I118=0,"-",IF(M118="Rozvaha",VLOOKUP(S118,'radky_R'!A:O,15,0),IF(M118="Výsledovka",VLOOKUP(S118,'radky_V'!A:M,11,0),"-")))</f>
        <v>-</v>
      </c>
      <c r="X118" s="5" t="str">
        <f>IF(I118=0,"-",VLOOKUP(K118,ucty_synt!A:S,19,0))</f>
        <v>-</v>
      </c>
      <c r="Y118" s="6">
        <f t="shared" si="17"/>
        <v>0</v>
      </c>
      <c r="Z118" s="650" t="str">
        <f>IF(data[[#This Row],[uc_synt]]="-","-",VLOOKUP(data[[#This Row],[uc_synt]],ucty_synt!A:T,20,0))</f>
        <v>-</v>
      </c>
      <c r="AA118" s="650" t="str">
        <f>IF(COUNTIF(proc_exc!A:A,data[[#This Row],[ucet]])&gt;1,"chyba v proc_exc!",IF(COUNTIF(proc_exc!A:A,data[[#This Row],[ucet]])=1,VLOOKUP(data[[#This Row],[ucet]],proc_exc!A:E,5,0),data[[#This Row],[proces default]]))</f>
        <v>-</v>
      </c>
    </row>
    <row r="119" spans="2:27" x14ac:dyDescent="0.3">
      <c r="B119" s="36"/>
      <c r="C119" s="32"/>
      <c r="J119" s="15" t="str">
        <f t="shared" si="15"/>
        <v xml:space="preserve"> </v>
      </c>
      <c r="K119" s="3" t="str">
        <f>IF(I119=0,"-",VALUE(LEFT(D119,LEN(D119)-(INDEX!$E$13-3))))</f>
        <v>-</v>
      </c>
      <c r="L119" s="5" t="str">
        <f>IF(I119=0,"-",VLOOKUP(K119,ucty_synt!A:B,2,0))</f>
        <v>-</v>
      </c>
      <c r="M119" s="15" t="str">
        <f>IF(S119="-","-",VLOOKUP(K119,ucty_synt!A:S,3,0))</f>
        <v>-</v>
      </c>
      <c r="N119" s="15" t="str">
        <f>IF(I119=0,"-",IF(M119="Rozvaha",VLOOKUP(S119,'radky_R'!A:O,6,0),IF(M119="Výsledovka",VLOOKUP(S119,'radky_V'!A:M,6,0),"-")))</f>
        <v>-</v>
      </c>
      <c r="O119" s="3" t="str">
        <f>IF(I119=0,"-",IF(COUNTIF(ucty_synt!A:A,K119)=0,"účet n/a",IF(VLOOKUP(K119,ucty_synt!A:S,4,0)=RIGHT($P$1,5),"podle AÚ",IF(VLOOKUP(K119,ucty_synt!A:S,4,0)=RIGHT($Q$1,5),"podle SÚ",IF(SUMIF(ucty_synt!A:A,K119,ucty_synt!E:E)&lt;&gt;0,VLOOKUP(K119,ucty_synt!A:T,5,0),"doplnit")))))</f>
        <v>-</v>
      </c>
      <c r="P119" s="3" t="str">
        <f>IF(I119=0,"-",IF(VLOOKUP(K119,ucty_synt!A:S,4,0)=RIGHT($P$1,5),IF(SUMIFS(I:I,C:C,C119,D:D,D119)&gt;=0,VLOOKUP(K119,ucty_synt!A:E,5,0),VLOOKUP(K119,ucty_synt!A:L,12,0)),"-"))</f>
        <v>-</v>
      </c>
      <c r="Q119" s="3" t="str">
        <f>IF(I119=0,"-",IF(VLOOKUP(K119,ucty_synt!A:S,4,0)=RIGHT($Q$1,5),IF(SUMIFS(I:I,C:C,C119,K:K,K119)&gt;=0,VLOOKUP(K119,ucty_synt!A:E,5,0),VLOOKUP(K119,ucty_synt!A:L,12,0)),"-"))</f>
        <v>-</v>
      </c>
      <c r="R119" s="459"/>
      <c r="S119" s="8" t="str">
        <f t="shared" si="16"/>
        <v>-</v>
      </c>
      <c r="T119" s="15" t="str">
        <f>IF(S119="-","-",IF(M119="Rozvaha",VLOOKUP(S119,'radky_R'!A:O,14,0),IF(M119="Výsledovka",VLOOKUP(S119,'radky_V'!A:M,12,0),"-")))</f>
        <v>-</v>
      </c>
      <c r="U119" s="20" t="str">
        <f>IF(I119=0,"-",IF(M119="Rozvaha",VLOOKUP(S119,'radky_R'!A:O,8,0),IF(M119="Výsledovka",VLOOKUP(S119,'radky_V'!A:M,8,0),"-")))</f>
        <v>-</v>
      </c>
      <c r="V119" s="20" t="str">
        <f>IF(I119=0,"-",IF(M119="Rozvaha",VLOOKUP(S119,'radky_R'!A:O,9,0),IF(M119="Výsledovka",VLOOKUP(S119,'radky_V'!A:M,9,0),"-")))</f>
        <v>-</v>
      </c>
      <c r="W119" s="104" t="str">
        <f>IF(I119=0,"-",IF(M119="Rozvaha",VLOOKUP(S119,'radky_R'!A:O,15,0),IF(M119="Výsledovka",VLOOKUP(S119,'radky_V'!A:M,11,0),"-")))</f>
        <v>-</v>
      </c>
      <c r="X119" s="5" t="str">
        <f>IF(I119=0,"-",VLOOKUP(K119,ucty_synt!A:S,19,0))</f>
        <v>-</v>
      </c>
      <c r="Y119" s="6">
        <f t="shared" si="17"/>
        <v>0</v>
      </c>
      <c r="Z119" s="650" t="str">
        <f>IF(data[[#This Row],[uc_synt]]="-","-",VLOOKUP(data[[#This Row],[uc_synt]],ucty_synt!A:T,20,0))</f>
        <v>-</v>
      </c>
      <c r="AA119" s="650" t="str">
        <f>IF(COUNTIF(proc_exc!A:A,data[[#This Row],[ucet]])&gt;1,"chyba v proc_exc!",IF(COUNTIF(proc_exc!A:A,data[[#This Row],[ucet]])=1,VLOOKUP(data[[#This Row],[ucet]],proc_exc!A:E,5,0),data[[#This Row],[proces default]]))</f>
        <v>-</v>
      </c>
    </row>
    <row r="120" spans="2:27" x14ac:dyDescent="0.3">
      <c r="B120" s="36"/>
      <c r="C120" s="32"/>
      <c r="J120" s="15" t="str">
        <f t="shared" si="15"/>
        <v xml:space="preserve"> </v>
      </c>
      <c r="K120" s="3" t="str">
        <f>IF(I120=0,"-",VALUE(LEFT(D120,LEN(D120)-(INDEX!$E$13-3))))</f>
        <v>-</v>
      </c>
      <c r="L120" s="5" t="str">
        <f>IF(I120=0,"-",VLOOKUP(K120,ucty_synt!A:B,2,0))</f>
        <v>-</v>
      </c>
      <c r="M120" s="15" t="str">
        <f>IF(S120="-","-",VLOOKUP(K120,ucty_synt!A:S,3,0))</f>
        <v>-</v>
      </c>
      <c r="N120" s="15" t="str">
        <f>IF(I120=0,"-",IF(M120="Rozvaha",VLOOKUP(S120,'radky_R'!A:O,6,0),IF(M120="Výsledovka",VLOOKUP(S120,'radky_V'!A:M,6,0),"-")))</f>
        <v>-</v>
      </c>
      <c r="O120" s="3" t="str">
        <f>IF(I120=0,"-",IF(COUNTIF(ucty_synt!A:A,K120)=0,"účet n/a",IF(VLOOKUP(K120,ucty_synt!A:S,4,0)=RIGHT($P$1,5),"podle AÚ",IF(VLOOKUP(K120,ucty_synt!A:S,4,0)=RIGHT($Q$1,5),"podle SÚ",IF(SUMIF(ucty_synt!A:A,K120,ucty_synt!E:E)&lt;&gt;0,VLOOKUP(K120,ucty_synt!A:T,5,0),"doplnit")))))</f>
        <v>-</v>
      </c>
      <c r="P120" s="3" t="str">
        <f>IF(I120=0,"-",IF(VLOOKUP(K120,ucty_synt!A:S,4,0)=RIGHT($P$1,5),IF(SUMIFS(I:I,C:C,C120,D:D,D120)&gt;=0,VLOOKUP(K120,ucty_synt!A:E,5,0),VLOOKUP(K120,ucty_synt!A:L,12,0)),"-"))</f>
        <v>-</v>
      </c>
      <c r="Q120" s="3" t="str">
        <f>IF(I120=0,"-",IF(VLOOKUP(K120,ucty_synt!A:S,4,0)=RIGHT($Q$1,5),IF(SUMIFS(I:I,C:C,C120,K:K,K120)&gt;=0,VLOOKUP(K120,ucty_synt!A:E,5,0),VLOOKUP(K120,ucty_synt!A:L,12,0)),"-"))</f>
        <v>-</v>
      </c>
      <c r="R120" s="459"/>
      <c r="S120" s="8" t="str">
        <f t="shared" si="16"/>
        <v>-</v>
      </c>
      <c r="T120" s="15" t="str">
        <f>IF(S120="-","-",IF(M120="Rozvaha",VLOOKUP(S120,'radky_R'!A:O,14,0),IF(M120="Výsledovka",VLOOKUP(S120,'radky_V'!A:M,12,0),"-")))</f>
        <v>-</v>
      </c>
      <c r="U120" s="20" t="str">
        <f>IF(I120=0,"-",IF(M120="Rozvaha",VLOOKUP(S120,'radky_R'!A:O,8,0),IF(M120="Výsledovka",VLOOKUP(S120,'radky_V'!A:M,8,0),"-")))</f>
        <v>-</v>
      </c>
      <c r="V120" s="20" t="str">
        <f>IF(I120=0,"-",IF(M120="Rozvaha",VLOOKUP(S120,'radky_R'!A:O,9,0),IF(M120="Výsledovka",VLOOKUP(S120,'radky_V'!A:M,9,0),"-")))</f>
        <v>-</v>
      </c>
      <c r="W120" s="104" t="str">
        <f>IF(I120=0,"-",IF(M120="Rozvaha",VLOOKUP(S120,'radky_R'!A:O,15,0),IF(M120="Výsledovka",VLOOKUP(S120,'radky_V'!A:M,11,0),"-")))</f>
        <v>-</v>
      </c>
      <c r="X120" s="5" t="str">
        <f>IF(I120=0,"-",VLOOKUP(K120,ucty_synt!A:S,19,0))</f>
        <v>-</v>
      </c>
      <c r="Y120" s="6">
        <f t="shared" si="17"/>
        <v>0</v>
      </c>
      <c r="Z120" s="650" t="str">
        <f>IF(data[[#This Row],[uc_synt]]="-","-",VLOOKUP(data[[#This Row],[uc_synt]],ucty_synt!A:T,20,0))</f>
        <v>-</v>
      </c>
      <c r="AA120" s="650" t="str">
        <f>IF(COUNTIF(proc_exc!A:A,data[[#This Row],[ucet]])&gt;1,"chyba v proc_exc!",IF(COUNTIF(proc_exc!A:A,data[[#This Row],[ucet]])=1,VLOOKUP(data[[#This Row],[ucet]],proc_exc!A:E,5,0),data[[#This Row],[proces default]]))</f>
        <v>-</v>
      </c>
    </row>
    <row r="121" spans="2:27" x14ac:dyDescent="0.3">
      <c r="B121" s="36"/>
      <c r="C121" s="32"/>
      <c r="J121" s="15" t="str">
        <f t="shared" si="15"/>
        <v xml:space="preserve"> </v>
      </c>
      <c r="K121" s="3" t="str">
        <f>IF(I121=0,"-",VALUE(LEFT(D121,LEN(D121)-(INDEX!$E$13-3))))</f>
        <v>-</v>
      </c>
      <c r="L121" s="5" t="str">
        <f>IF(I121=0,"-",VLOOKUP(K121,ucty_synt!A:B,2,0))</f>
        <v>-</v>
      </c>
      <c r="M121" s="15" t="str">
        <f>IF(S121="-","-",VLOOKUP(K121,ucty_synt!A:S,3,0))</f>
        <v>-</v>
      </c>
      <c r="N121" s="15" t="str">
        <f>IF(I121=0,"-",IF(M121="Rozvaha",VLOOKUP(S121,'radky_R'!A:O,6,0),IF(M121="Výsledovka",VLOOKUP(S121,'radky_V'!A:M,6,0),"-")))</f>
        <v>-</v>
      </c>
      <c r="O121" s="3" t="str">
        <f>IF(I121=0,"-",IF(COUNTIF(ucty_synt!A:A,K121)=0,"účet n/a",IF(VLOOKUP(K121,ucty_synt!A:S,4,0)=RIGHT($P$1,5),"podle AÚ",IF(VLOOKUP(K121,ucty_synt!A:S,4,0)=RIGHT($Q$1,5),"podle SÚ",IF(SUMIF(ucty_synt!A:A,K121,ucty_synt!E:E)&lt;&gt;0,VLOOKUP(K121,ucty_synt!A:T,5,0),"doplnit")))))</f>
        <v>-</v>
      </c>
      <c r="P121" s="3" t="str">
        <f>IF(I121=0,"-",IF(VLOOKUP(K121,ucty_synt!A:S,4,0)=RIGHT($P$1,5),IF(SUMIFS(I:I,C:C,C121,D:D,D121)&gt;=0,VLOOKUP(K121,ucty_synt!A:E,5,0),VLOOKUP(K121,ucty_synt!A:L,12,0)),"-"))</f>
        <v>-</v>
      </c>
      <c r="Q121" s="3" t="str">
        <f>IF(I121=0,"-",IF(VLOOKUP(K121,ucty_synt!A:S,4,0)=RIGHT($Q$1,5),IF(SUMIFS(I:I,C:C,C121,K:K,K121)&gt;=0,VLOOKUP(K121,ucty_synt!A:E,5,0),VLOOKUP(K121,ucty_synt!A:L,12,0)),"-"))</f>
        <v>-</v>
      </c>
      <c r="R121" s="459"/>
      <c r="S121" s="8" t="str">
        <f t="shared" si="16"/>
        <v>-</v>
      </c>
      <c r="T121" s="15" t="str">
        <f>IF(S121="-","-",IF(M121="Rozvaha",VLOOKUP(S121,'radky_R'!A:O,14,0),IF(M121="Výsledovka",VLOOKUP(S121,'radky_V'!A:M,12,0),"-")))</f>
        <v>-</v>
      </c>
      <c r="U121" s="20" t="str">
        <f>IF(I121=0,"-",IF(M121="Rozvaha",VLOOKUP(S121,'radky_R'!A:O,8,0),IF(M121="Výsledovka",VLOOKUP(S121,'radky_V'!A:M,8,0),"-")))</f>
        <v>-</v>
      </c>
      <c r="V121" s="20" t="str">
        <f>IF(I121=0,"-",IF(M121="Rozvaha",VLOOKUP(S121,'radky_R'!A:O,9,0),IF(M121="Výsledovka",VLOOKUP(S121,'radky_V'!A:M,9,0),"-")))</f>
        <v>-</v>
      </c>
      <c r="W121" s="104" t="str">
        <f>IF(I121=0,"-",IF(M121="Rozvaha",VLOOKUP(S121,'radky_R'!A:O,15,0),IF(M121="Výsledovka",VLOOKUP(S121,'radky_V'!A:M,11,0),"-")))</f>
        <v>-</v>
      </c>
      <c r="X121" s="5" t="str">
        <f>IF(I121=0,"-",VLOOKUP(K121,ucty_synt!A:S,19,0))</f>
        <v>-</v>
      </c>
      <c r="Y121" s="6">
        <f t="shared" si="17"/>
        <v>0</v>
      </c>
      <c r="Z121" s="650" t="str">
        <f>IF(data[[#This Row],[uc_synt]]="-","-",VLOOKUP(data[[#This Row],[uc_synt]],ucty_synt!A:T,20,0))</f>
        <v>-</v>
      </c>
      <c r="AA121" s="650" t="str">
        <f>IF(COUNTIF(proc_exc!A:A,data[[#This Row],[ucet]])&gt;1,"chyba v proc_exc!",IF(COUNTIF(proc_exc!A:A,data[[#This Row],[ucet]])=1,VLOOKUP(data[[#This Row],[ucet]],proc_exc!A:E,5,0),data[[#This Row],[proces default]]))</f>
        <v>-</v>
      </c>
    </row>
    <row r="122" spans="2:27" x14ac:dyDescent="0.3">
      <c r="B122" s="36"/>
      <c r="C122" s="32"/>
      <c r="J122" s="15" t="str">
        <f t="shared" si="15"/>
        <v xml:space="preserve"> </v>
      </c>
      <c r="K122" s="3" t="str">
        <f>IF(I122=0,"-",VALUE(LEFT(D122,LEN(D122)-(INDEX!$E$13-3))))</f>
        <v>-</v>
      </c>
      <c r="L122" s="5" t="str">
        <f>IF(I122=0,"-",VLOOKUP(K122,ucty_synt!A:B,2,0))</f>
        <v>-</v>
      </c>
      <c r="M122" s="15" t="str">
        <f>IF(S122="-","-",VLOOKUP(K122,ucty_synt!A:S,3,0))</f>
        <v>-</v>
      </c>
      <c r="N122" s="15" t="str">
        <f>IF(I122=0,"-",IF(M122="Rozvaha",VLOOKUP(S122,'radky_R'!A:O,6,0),IF(M122="Výsledovka",VLOOKUP(S122,'radky_V'!A:M,6,0),"-")))</f>
        <v>-</v>
      </c>
      <c r="O122" s="3" t="str">
        <f>IF(I122=0,"-",IF(COUNTIF(ucty_synt!A:A,K122)=0,"účet n/a",IF(VLOOKUP(K122,ucty_synt!A:S,4,0)=RIGHT($P$1,5),"podle AÚ",IF(VLOOKUP(K122,ucty_synt!A:S,4,0)=RIGHT($Q$1,5),"podle SÚ",IF(SUMIF(ucty_synt!A:A,K122,ucty_synt!E:E)&lt;&gt;0,VLOOKUP(K122,ucty_synt!A:T,5,0),"doplnit")))))</f>
        <v>-</v>
      </c>
      <c r="P122" s="3" t="str">
        <f>IF(I122=0,"-",IF(VLOOKUP(K122,ucty_synt!A:S,4,0)=RIGHT($P$1,5),IF(SUMIFS(I:I,C:C,C122,D:D,D122)&gt;=0,VLOOKUP(K122,ucty_synt!A:E,5,0),VLOOKUP(K122,ucty_synt!A:L,12,0)),"-"))</f>
        <v>-</v>
      </c>
      <c r="Q122" s="3" t="str">
        <f>IF(I122=0,"-",IF(VLOOKUP(K122,ucty_synt!A:S,4,0)=RIGHT($Q$1,5),IF(SUMIFS(I:I,C:C,C122,K:K,K122)&gt;=0,VLOOKUP(K122,ucty_synt!A:E,5,0),VLOOKUP(K122,ucty_synt!A:L,12,0)),"-"))</f>
        <v>-</v>
      </c>
      <c r="R122" s="459"/>
      <c r="S122" s="8" t="str">
        <f t="shared" si="16"/>
        <v>-</v>
      </c>
      <c r="T122" s="15" t="str">
        <f>IF(S122="-","-",IF(M122="Rozvaha",VLOOKUP(S122,'radky_R'!A:O,14,0),IF(M122="Výsledovka",VLOOKUP(S122,'radky_V'!A:M,12,0),"-")))</f>
        <v>-</v>
      </c>
      <c r="U122" s="20" t="str">
        <f>IF(I122=0,"-",IF(M122="Rozvaha",VLOOKUP(S122,'radky_R'!A:O,8,0),IF(M122="Výsledovka",VLOOKUP(S122,'radky_V'!A:M,8,0),"-")))</f>
        <v>-</v>
      </c>
      <c r="V122" s="20" t="str">
        <f>IF(I122=0,"-",IF(M122="Rozvaha",VLOOKUP(S122,'radky_R'!A:O,9,0),IF(M122="Výsledovka",VLOOKUP(S122,'radky_V'!A:M,9,0),"-")))</f>
        <v>-</v>
      </c>
      <c r="W122" s="104" t="str">
        <f>IF(I122=0,"-",IF(M122="Rozvaha",VLOOKUP(S122,'radky_R'!A:O,15,0),IF(M122="Výsledovka",VLOOKUP(S122,'radky_V'!A:M,11,0),"-")))</f>
        <v>-</v>
      </c>
      <c r="X122" s="5" t="str">
        <f>IF(I122=0,"-",VLOOKUP(K122,ucty_synt!A:S,19,0))</f>
        <v>-</v>
      </c>
      <c r="Y122" s="6">
        <f t="shared" si="17"/>
        <v>0</v>
      </c>
      <c r="Z122" s="650" t="str">
        <f>IF(data[[#This Row],[uc_synt]]="-","-",VLOOKUP(data[[#This Row],[uc_synt]],ucty_synt!A:T,20,0))</f>
        <v>-</v>
      </c>
      <c r="AA122" s="650" t="str">
        <f>IF(COUNTIF(proc_exc!A:A,data[[#This Row],[ucet]])&gt;1,"chyba v proc_exc!",IF(COUNTIF(proc_exc!A:A,data[[#This Row],[ucet]])=1,VLOOKUP(data[[#This Row],[ucet]],proc_exc!A:E,5,0),data[[#This Row],[proces default]]))</f>
        <v>-</v>
      </c>
    </row>
    <row r="123" spans="2:27" x14ac:dyDescent="0.3">
      <c r="B123" s="36"/>
      <c r="C123" s="32"/>
      <c r="J123" s="15" t="str">
        <f t="shared" si="15"/>
        <v xml:space="preserve"> </v>
      </c>
      <c r="K123" s="3" t="str">
        <f>IF(I123=0,"-",VALUE(LEFT(D123,LEN(D123)-(INDEX!$E$13-3))))</f>
        <v>-</v>
      </c>
      <c r="L123" s="5" t="str">
        <f>IF(I123=0,"-",VLOOKUP(K123,ucty_synt!A:B,2,0))</f>
        <v>-</v>
      </c>
      <c r="M123" s="15" t="str">
        <f>IF(S123="-","-",VLOOKUP(K123,ucty_synt!A:S,3,0))</f>
        <v>-</v>
      </c>
      <c r="N123" s="15" t="str">
        <f>IF(I123=0,"-",IF(M123="Rozvaha",VLOOKUP(S123,'radky_R'!A:O,6,0),IF(M123="Výsledovka",VLOOKUP(S123,'radky_V'!A:M,6,0),"-")))</f>
        <v>-</v>
      </c>
      <c r="O123" s="3" t="str">
        <f>IF(I123=0,"-",IF(COUNTIF(ucty_synt!A:A,K123)=0,"účet n/a",IF(VLOOKUP(K123,ucty_synt!A:S,4,0)=RIGHT($P$1,5),"podle AÚ",IF(VLOOKUP(K123,ucty_synt!A:S,4,0)=RIGHT($Q$1,5),"podle SÚ",IF(SUMIF(ucty_synt!A:A,K123,ucty_synt!E:E)&lt;&gt;0,VLOOKUP(K123,ucty_synt!A:T,5,0),"doplnit")))))</f>
        <v>-</v>
      </c>
      <c r="P123" s="3" t="str">
        <f>IF(I123=0,"-",IF(VLOOKUP(K123,ucty_synt!A:S,4,0)=RIGHT($P$1,5),IF(SUMIFS(I:I,C:C,C123,D:D,D123)&gt;=0,VLOOKUP(K123,ucty_synt!A:E,5,0),VLOOKUP(K123,ucty_synt!A:L,12,0)),"-"))</f>
        <v>-</v>
      </c>
      <c r="Q123" s="3" t="str">
        <f>IF(I123=0,"-",IF(VLOOKUP(K123,ucty_synt!A:S,4,0)=RIGHT($Q$1,5),IF(SUMIFS(I:I,C:C,C123,K:K,K123)&gt;=0,VLOOKUP(K123,ucty_synt!A:E,5,0),VLOOKUP(K123,ucty_synt!A:L,12,0)),"-"))</f>
        <v>-</v>
      </c>
      <c r="R123" s="459"/>
      <c r="S123" s="8" t="str">
        <f t="shared" si="16"/>
        <v>-</v>
      </c>
      <c r="T123" s="15" t="str">
        <f>IF(S123="-","-",IF(M123="Rozvaha",VLOOKUP(S123,'radky_R'!A:O,14,0),IF(M123="Výsledovka",VLOOKUP(S123,'radky_V'!A:M,12,0),"-")))</f>
        <v>-</v>
      </c>
      <c r="U123" s="20" t="str">
        <f>IF(I123=0,"-",IF(M123="Rozvaha",VLOOKUP(S123,'radky_R'!A:O,8,0),IF(M123="Výsledovka",VLOOKUP(S123,'radky_V'!A:M,8,0),"-")))</f>
        <v>-</v>
      </c>
      <c r="V123" s="20" t="str">
        <f>IF(I123=0,"-",IF(M123="Rozvaha",VLOOKUP(S123,'radky_R'!A:O,9,0),IF(M123="Výsledovka",VLOOKUP(S123,'radky_V'!A:M,9,0),"-")))</f>
        <v>-</v>
      </c>
      <c r="W123" s="104" t="str">
        <f>IF(I123=0,"-",IF(M123="Rozvaha",VLOOKUP(S123,'radky_R'!A:O,15,0),IF(M123="Výsledovka",VLOOKUP(S123,'radky_V'!A:M,11,0),"-")))</f>
        <v>-</v>
      </c>
      <c r="X123" s="5" t="str">
        <f>IF(I123=0,"-",VLOOKUP(K123,ucty_synt!A:S,19,0))</f>
        <v>-</v>
      </c>
      <c r="Y123" s="6">
        <f t="shared" si="17"/>
        <v>0</v>
      </c>
      <c r="Z123" s="650" t="str">
        <f>IF(data[[#This Row],[uc_synt]]="-","-",VLOOKUP(data[[#This Row],[uc_synt]],ucty_synt!A:T,20,0))</f>
        <v>-</v>
      </c>
      <c r="AA123" s="650" t="str">
        <f>IF(COUNTIF(proc_exc!A:A,data[[#This Row],[ucet]])&gt;1,"chyba v proc_exc!",IF(COUNTIF(proc_exc!A:A,data[[#This Row],[ucet]])=1,VLOOKUP(data[[#This Row],[ucet]],proc_exc!A:E,5,0),data[[#This Row],[proces default]]))</f>
        <v>-</v>
      </c>
    </row>
    <row r="124" spans="2:27" x14ac:dyDescent="0.3">
      <c r="B124" s="36"/>
      <c r="C124" s="32"/>
      <c r="J124" s="15" t="str">
        <f t="shared" si="15"/>
        <v xml:space="preserve"> </v>
      </c>
      <c r="K124" s="3" t="str">
        <f>IF(I124=0,"-",VALUE(LEFT(D124,LEN(D124)-(INDEX!$E$13-3))))</f>
        <v>-</v>
      </c>
      <c r="L124" s="5" t="str">
        <f>IF(I124=0,"-",VLOOKUP(K124,ucty_synt!A:B,2,0))</f>
        <v>-</v>
      </c>
      <c r="M124" s="15" t="str">
        <f>IF(S124="-","-",VLOOKUP(K124,ucty_synt!A:S,3,0))</f>
        <v>-</v>
      </c>
      <c r="N124" s="15" t="str">
        <f>IF(I124=0,"-",IF(M124="Rozvaha",VLOOKUP(S124,'radky_R'!A:O,6,0),IF(M124="Výsledovka",VLOOKUP(S124,'radky_V'!A:M,6,0),"-")))</f>
        <v>-</v>
      </c>
      <c r="O124" s="3" t="str">
        <f>IF(I124=0,"-",IF(COUNTIF(ucty_synt!A:A,K124)=0,"účet n/a",IF(VLOOKUP(K124,ucty_synt!A:S,4,0)=RIGHT($P$1,5),"podle AÚ",IF(VLOOKUP(K124,ucty_synt!A:S,4,0)=RIGHT($Q$1,5),"podle SÚ",IF(SUMIF(ucty_synt!A:A,K124,ucty_synt!E:E)&lt;&gt;0,VLOOKUP(K124,ucty_synt!A:T,5,0),"doplnit")))))</f>
        <v>-</v>
      </c>
      <c r="P124" s="3" t="str">
        <f>IF(I124=0,"-",IF(VLOOKUP(K124,ucty_synt!A:S,4,0)=RIGHT($P$1,5),IF(SUMIFS(I:I,C:C,C124,D:D,D124)&gt;=0,VLOOKUP(K124,ucty_synt!A:E,5,0),VLOOKUP(K124,ucty_synt!A:L,12,0)),"-"))</f>
        <v>-</v>
      </c>
      <c r="Q124" s="3" t="str">
        <f>IF(I124=0,"-",IF(VLOOKUP(K124,ucty_synt!A:S,4,0)=RIGHT($Q$1,5),IF(SUMIFS(I:I,C:C,C124,K:K,K124)&gt;=0,VLOOKUP(K124,ucty_synt!A:E,5,0),VLOOKUP(K124,ucty_synt!A:L,12,0)),"-"))</f>
        <v>-</v>
      </c>
      <c r="R124" s="459"/>
      <c r="S124" s="8" t="str">
        <f t="shared" si="16"/>
        <v>-</v>
      </c>
      <c r="T124" s="15" t="str">
        <f>IF(S124="-","-",IF(M124="Rozvaha",VLOOKUP(S124,'radky_R'!A:O,14,0),IF(M124="Výsledovka",VLOOKUP(S124,'radky_V'!A:M,12,0),"-")))</f>
        <v>-</v>
      </c>
      <c r="U124" s="20" t="str">
        <f>IF(I124=0,"-",IF(M124="Rozvaha",VLOOKUP(S124,'radky_R'!A:O,8,0),IF(M124="Výsledovka",VLOOKUP(S124,'radky_V'!A:M,8,0),"-")))</f>
        <v>-</v>
      </c>
      <c r="V124" s="20" t="str">
        <f>IF(I124=0,"-",IF(M124="Rozvaha",VLOOKUP(S124,'radky_R'!A:O,9,0),IF(M124="Výsledovka",VLOOKUP(S124,'radky_V'!A:M,9,0),"-")))</f>
        <v>-</v>
      </c>
      <c r="W124" s="104" t="str">
        <f>IF(I124=0,"-",IF(M124="Rozvaha",VLOOKUP(S124,'radky_R'!A:O,15,0),IF(M124="Výsledovka",VLOOKUP(S124,'radky_V'!A:M,11,0),"-")))</f>
        <v>-</v>
      </c>
      <c r="X124" s="5" t="str">
        <f>IF(I124=0,"-",VLOOKUP(K124,ucty_synt!A:S,19,0))</f>
        <v>-</v>
      </c>
      <c r="Y124" s="6">
        <f t="shared" si="17"/>
        <v>0</v>
      </c>
      <c r="Z124" s="650" t="str">
        <f>IF(data[[#This Row],[uc_synt]]="-","-",VLOOKUP(data[[#This Row],[uc_synt]],ucty_synt!A:T,20,0))</f>
        <v>-</v>
      </c>
      <c r="AA124" s="650" t="str">
        <f>IF(COUNTIF(proc_exc!A:A,data[[#This Row],[ucet]])&gt;1,"chyba v proc_exc!",IF(COUNTIF(proc_exc!A:A,data[[#This Row],[ucet]])=1,VLOOKUP(data[[#This Row],[ucet]],proc_exc!A:E,5,0),data[[#This Row],[proces default]]))</f>
        <v>-</v>
      </c>
    </row>
    <row r="125" spans="2:27" x14ac:dyDescent="0.3">
      <c r="B125" s="36"/>
      <c r="C125" s="32"/>
      <c r="J125" s="15" t="str">
        <f t="shared" si="15"/>
        <v xml:space="preserve"> </v>
      </c>
      <c r="K125" s="3" t="str">
        <f>IF(I125=0,"-",VALUE(LEFT(D125,LEN(D125)-(INDEX!$E$13-3))))</f>
        <v>-</v>
      </c>
      <c r="L125" s="5" t="str">
        <f>IF(I125=0,"-",VLOOKUP(K125,ucty_synt!A:B,2,0))</f>
        <v>-</v>
      </c>
      <c r="M125" s="15" t="str">
        <f>IF(S125="-","-",VLOOKUP(K125,ucty_synt!A:S,3,0))</f>
        <v>-</v>
      </c>
      <c r="N125" s="15" t="str">
        <f>IF(I125=0,"-",IF(M125="Rozvaha",VLOOKUP(S125,'radky_R'!A:O,6,0),IF(M125="Výsledovka",VLOOKUP(S125,'radky_V'!A:M,6,0),"-")))</f>
        <v>-</v>
      </c>
      <c r="O125" s="3" t="str">
        <f>IF(I125=0,"-",IF(COUNTIF(ucty_synt!A:A,K125)=0,"účet n/a",IF(VLOOKUP(K125,ucty_synt!A:S,4,0)=RIGHT($P$1,5),"podle AÚ",IF(VLOOKUP(K125,ucty_synt!A:S,4,0)=RIGHT($Q$1,5),"podle SÚ",IF(SUMIF(ucty_synt!A:A,K125,ucty_synt!E:E)&lt;&gt;0,VLOOKUP(K125,ucty_synt!A:T,5,0),"doplnit")))))</f>
        <v>-</v>
      </c>
      <c r="P125" s="3" t="str">
        <f>IF(I125=0,"-",IF(VLOOKUP(K125,ucty_synt!A:S,4,0)=RIGHT($P$1,5),IF(SUMIFS(I:I,C:C,C125,D:D,D125)&gt;=0,VLOOKUP(K125,ucty_synt!A:E,5,0),VLOOKUP(K125,ucty_synt!A:L,12,0)),"-"))</f>
        <v>-</v>
      </c>
      <c r="Q125" s="3" t="str">
        <f>IF(I125=0,"-",IF(VLOOKUP(K125,ucty_synt!A:S,4,0)=RIGHT($Q$1,5),IF(SUMIFS(I:I,C:C,C125,K:K,K125)&gt;=0,VLOOKUP(K125,ucty_synt!A:E,5,0),VLOOKUP(K125,ucty_synt!A:L,12,0)),"-"))</f>
        <v>-</v>
      </c>
      <c r="R125" s="459"/>
      <c r="S125" s="8" t="str">
        <f t="shared" si="16"/>
        <v>-</v>
      </c>
      <c r="T125" s="15" t="str">
        <f>IF(S125="-","-",IF(M125="Rozvaha",VLOOKUP(S125,'radky_R'!A:O,14,0),IF(M125="Výsledovka",VLOOKUP(S125,'radky_V'!A:M,12,0),"-")))</f>
        <v>-</v>
      </c>
      <c r="U125" s="20" t="str">
        <f>IF(I125=0,"-",IF(M125="Rozvaha",VLOOKUP(S125,'radky_R'!A:O,8,0),IF(M125="Výsledovka",VLOOKUP(S125,'radky_V'!A:M,8,0),"-")))</f>
        <v>-</v>
      </c>
      <c r="V125" s="20" t="str">
        <f>IF(I125=0,"-",IF(M125="Rozvaha",VLOOKUP(S125,'radky_R'!A:O,9,0),IF(M125="Výsledovka",VLOOKUP(S125,'radky_V'!A:M,9,0),"-")))</f>
        <v>-</v>
      </c>
      <c r="W125" s="104" t="str">
        <f>IF(I125=0,"-",IF(M125="Rozvaha",VLOOKUP(S125,'radky_R'!A:O,15,0),IF(M125="Výsledovka",VLOOKUP(S125,'radky_V'!A:M,11,0),"-")))</f>
        <v>-</v>
      </c>
      <c r="X125" s="5" t="str">
        <f>IF(I125=0,"-",VLOOKUP(K125,ucty_synt!A:S,19,0))</f>
        <v>-</v>
      </c>
      <c r="Y125" s="6">
        <f t="shared" si="17"/>
        <v>0</v>
      </c>
      <c r="Z125" s="650" t="str">
        <f>IF(data[[#This Row],[uc_synt]]="-","-",VLOOKUP(data[[#This Row],[uc_synt]],ucty_synt!A:T,20,0))</f>
        <v>-</v>
      </c>
      <c r="AA125" s="650" t="str">
        <f>IF(COUNTIF(proc_exc!A:A,data[[#This Row],[ucet]])&gt;1,"chyba v proc_exc!",IF(COUNTIF(proc_exc!A:A,data[[#This Row],[ucet]])=1,VLOOKUP(data[[#This Row],[ucet]],proc_exc!A:E,5,0),data[[#This Row],[proces default]]))</f>
        <v>-</v>
      </c>
    </row>
    <row r="126" spans="2:27" x14ac:dyDescent="0.3">
      <c r="B126" s="36"/>
      <c r="C126" s="32"/>
      <c r="J126" s="15" t="str">
        <f t="shared" si="15"/>
        <v xml:space="preserve"> </v>
      </c>
      <c r="K126" s="3" t="str">
        <f>IF(I126=0,"-",VALUE(LEFT(D126,LEN(D126)-(INDEX!$E$13-3))))</f>
        <v>-</v>
      </c>
      <c r="L126" s="5" t="str">
        <f>IF(I126=0,"-",VLOOKUP(K126,ucty_synt!A:B,2,0))</f>
        <v>-</v>
      </c>
      <c r="M126" s="15" t="str">
        <f>IF(S126="-","-",VLOOKUP(K126,ucty_synt!A:S,3,0))</f>
        <v>-</v>
      </c>
      <c r="N126" s="15" t="str">
        <f>IF(I126=0,"-",IF(M126="Rozvaha",VLOOKUP(S126,'radky_R'!A:O,6,0),IF(M126="Výsledovka",VLOOKUP(S126,'radky_V'!A:M,6,0),"-")))</f>
        <v>-</v>
      </c>
      <c r="O126" s="3" t="str">
        <f>IF(I126=0,"-",IF(COUNTIF(ucty_synt!A:A,K126)=0,"účet n/a",IF(VLOOKUP(K126,ucty_synt!A:S,4,0)=RIGHT($P$1,5),"podle AÚ",IF(VLOOKUP(K126,ucty_synt!A:S,4,0)=RIGHT($Q$1,5),"podle SÚ",IF(SUMIF(ucty_synt!A:A,K126,ucty_synt!E:E)&lt;&gt;0,VLOOKUP(K126,ucty_synt!A:T,5,0),"doplnit")))))</f>
        <v>-</v>
      </c>
      <c r="P126" s="3" t="str">
        <f>IF(I126=0,"-",IF(VLOOKUP(K126,ucty_synt!A:S,4,0)=RIGHT($P$1,5),IF(SUMIFS(I:I,C:C,C126,D:D,D126)&gt;=0,VLOOKUP(K126,ucty_synt!A:E,5,0),VLOOKUP(K126,ucty_synt!A:L,12,0)),"-"))</f>
        <v>-</v>
      </c>
      <c r="Q126" s="3" t="str">
        <f>IF(I126=0,"-",IF(VLOOKUP(K126,ucty_synt!A:S,4,0)=RIGHT($Q$1,5),IF(SUMIFS(I:I,C:C,C126,K:K,K126)&gt;=0,VLOOKUP(K126,ucty_synt!A:E,5,0),VLOOKUP(K126,ucty_synt!A:L,12,0)),"-"))</f>
        <v>-</v>
      </c>
      <c r="R126" s="459"/>
      <c r="S126" s="8" t="str">
        <f t="shared" si="16"/>
        <v>-</v>
      </c>
      <c r="T126" s="15" t="str">
        <f>IF(S126="-","-",IF(M126="Rozvaha",VLOOKUP(S126,'radky_R'!A:O,14,0),IF(M126="Výsledovka",VLOOKUP(S126,'radky_V'!A:M,12,0),"-")))</f>
        <v>-</v>
      </c>
      <c r="U126" s="20" t="str">
        <f>IF(I126=0,"-",IF(M126="Rozvaha",VLOOKUP(S126,'radky_R'!A:O,8,0),IF(M126="Výsledovka",VLOOKUP(S126,'radky_V'!A:M,8,0),"-")))</f>
        <v>-</v>
      </c>
      <c r="V126" s="20" t="str">
        <f>IF(I126=0,"-",IF(M126="Rozvaha",VLOOKUP(S126,'radky_R'!A:O,9,0),IF(M126="Výsledovka",VLOOKUP(S126,'radky_V'!A:M,9,0),"-")))</f>
        <v>-</v>
      </c>
      <c r="W126" s="104" t="str">
        <f>IF(I126=0,"-",IF(M126="Rozvaha",VLOOKUP(S126,'radky_R'!A:O,15,0),IF(M126="Výsledovka",VLOOKUP(S126,'radky_V'!A:M,11,0),"-")))</f>
        <v>-</v>
      </c>
      <c r="X126" s="5" t="str">
        <f>IF(I126=0,"-",VLOOKUP(K126,ucty_synt!A:S,19,0))</f>
        <v>-</v>
      </c>
      <c r="Y126" s="6">
        <f t="shared" si="17"/>
        <v>0</v>
      </c>
      <c r="Z126" s="650" t="str">
        <f>IF(data[[#This Row],[uc_synt]]="-","-",VLOOKUP(data[[#This Row],[uc_synt]],ucty_synt!A:T,20,0))</f>
        <v>-</v>
      </c>
      <c r="AA126" s="650" t="str">
        <f>IF(COUNTIF(proc_exc!A:A,data[[#This Row],[ucet]])&gt;1,"chyba v proc_exc!",IF(COUNTIF(proc_exc!A:A,data[[#This Row],[ucet]])=1,VLOOKUP(data[[#This Row],[ucet]],proc_exc!A:E,5,0),data[[#This Row],[proces default]]))</f>
        <v>-</v>
      </c>
    </row>
    <row r="127" spans="2:27" x14ac:dyDescent="0.3">
      <c r="B127" s="36"/>
      <c r="C127" s="32"/>
      <c r="J127" s="15" t="str">
        <f t="shared" si="15"/>
        <v xml:space="preserve"> </v>
      </c>
      <c r="K127" s="3" t="str">
        <f>IF(I127=0,"-",VALUE(LEFT(D127,LEN(D127)-(INDEX!$E$13-3))))</f>
        <v>-</v>
      </c>
      <c r="L127" s="5" t="str">
        <f>IF(I127=0,"-",VLOOKUP(K127,ucty_synt!A:B,2,0))</f>
        <v>-</v>
      </c>
      <c r="M127" s="15" t="str">
        <f>IF(S127="-","-",VLOOKUP(K127,ucty_synt!A:S,3,0))</f>
        <v>-</v>
      </c>
      <c r="N127" s="15" t="str">
        <f>IF(I127=0,"-",IF(M127="Rozvaha",VLOOKUP(S127,'radky_R'!A:O,6,0),IF(M127="Výsledovka",VLOOKUP(S127,'radky_V'!A:M,6,0),"-")))</f>
        <v>-</v>
      </c>
      <c r="O127" s="3" t="str">
        <f>IF(I127=0,"-",IF(COUNTIF(ucty_synt!A:A,K127)=0,"účet n/a",IF(VLOOKUP(K127,ucty_synt!A:S,4,0)=RIGHT($P$1,5),"podle AÚ",IF(VLOOKUP(K127,ucty_synt!A:S,4,0)=RIGHT($Q$1,5),"podle SÚ",IF(SUMIF(ucty_synt!A:A,K127,ucty_synt!E:E)&lt;&gt;0,VLOOKUP(K127,ucty_synt!A:T,5,0),"doplnit")))))</f>
        <v>-</v>
      </c>
      <c r="P127" s="3" t="str">
        <f>IF(I127=0,"-",IF(VLOOKUP(K127,ucty_synt!A:S,4,0)=RIGHT($P$1,5),IF(SUMIFS(I:I,C:C,C127,D:D,D127)&gt;=0,VLOOKUP(K127,ucty_synt!A:E,5,0),VLOOKUP(K127,ucty_synt!A:L,12,0)),"-"))</f>
        <v>-</v>
      </c>
      <c r="Q127" s="3" t="str">
        <f>IF(I127=0,"-",IF(VLOOKUP(K127,ucty_synt!A:S,4,0)=RIGHT($Q$1,5),IF(SUMIFS(I:I,C:C,C127,K:K,K127)&gt;=0,VLOOKUP(K127,ucty_synt!A:E,5,0),VLOOKUP(K127,ucty_synt!A:L,12,0)),"-"))</f>
        <v>-</v>
      </c>
      <c r="R127" s="459"/>
      <c r="S127" s="8" t="str">
        <f t="shared" si="16"/>
        <v>-</v>
      </c>
      <c r="T127" s="15" t="str">
        <f>IF(S127="-","-",IF(M127="Rozvaha",VLOOKUP(S127,'radky_R'!A:O,14,0),IF(M127="Výsledovka",VLOOKUP(S127,'radky_V'!A:M,12,0),"-")))</f>
        <v>-</v>
      </c>
      <c r="U127" s="20" t="str">
        <f>IF(I127=0,"-",IF(M127="Rozvaha",VLOOKUP(S127,'radky_R'!A:O,8,0),IF(M127="Výsledovka",VLOOKUP(S127,'radky_V'!A:M,8,0),"-")))</f>
        <v>-</v>
      </c>
      <c r="V127" s="20" t="str">
        <f>IF(I127=0,"-",IF(M127="Rozvaha",VLOOKUP(S127,'radky_R'!A:O,9,0),IF(M127="Výsledovka",VLOOKUP(S127,'radky_V'!A:M,9,0),"-")))</f>
        <v>-</v>
      </c>
      <c r="W127" s="104" t="str">
        <f>IF(I127=0,"-",IF(M127="Rozvaha",VLOOKUP(S127,'radky_R'!A:O,15,0),IF(M127="Výsledovka",VLOOKUP(S127,'radky_V'!A:M,11,0),"-")))</f>
        <v>-</v>
      </c>
      <c r="X127" s="5" t="str">
        <f>IF(I127=0,"-",VLOOKUP(K127,ucty_synt!A:S,19,0))</f>
        <v>-</v>
      </c>
      <c r="Y127" s="6">
        <f t="shared" si="17"/>
        <v>0</v>
      </c>
      <c r="Z127" s="650" t="str">
        <f>IF(data[[#This Row],[uc_synt]]="-","-",VLOOKUP(data[[#This Row],[uc_synt]],ucty_synt!A:T,20,0))</f>
        <v>-</v>
      </c>
      <c r="AA127" s="650" t="str">
        <f>IF(COUNTIF(proc_exc!A:A,data[[#This Row],[ucet]])&gt;1,"chyba v proc_exc!",IF(COUNTIF(proc_exc!A:A,data[[#This Row],[ucet]])=1,VLOOKUP(data[[#This Row],[ucet]],proc_exc!A:E,5,0),data[[#This Row],[proces default]]))</f>
        <v>-</v>
      </c>
    </row>
    <row r="128" spans="2:27" x14ac:dyDescent="0.3">
      <c r="B128" s="36"/>
      <c r="C128" s="32"/>
      <c r="J128" s="15" t="str">
        <f t="shared" si="15"/>
        <v xml:space="preserve"> </v>
      </c>
      <c r="K128" s="3" t="str">
        <f>IF(I128=0,"-",VALUE(LEFT(D128,LEN(D128)-(INDEX!$E$13-3))))</f>
        <v>-</v>
      </c>
      <c r="L128" s="5" t="str">
        <f>IF(I128=0,"-",VLOOKUP(K128,ucty_synt!A:B,2,0))</f>
        <v>-</v>
      </c>
      <c r="M128" s="15" t="str">
        <f>IF(S128="-","-",VLOOKUP(K128,ucty_synt!A:S,3,0))</f>
        <v>-</v>
      </c>
      <c r="N128" s="15" t="str">
        <f>IF(I128=0,"-",IF(M128="Rozvaha",VLOOKUP(S128,'radky_R'!A:O,6,0),IF(M128="Výsledovka",VLOOKUP(S128,'radky_V'!A:M,6,0),"-")))</f>
        <v>-</v>
      </c>
      <c r="O128" s="3" t="str">
        <f>IF(I128=0,"-",IF(COUNTIF(ucty_synt!A:A,K128)=0,"účet n/a",IF(VLOOKUP(K128,ucty_synt!A:S,4,0)=RIGHT($P$1,5),"podle AÚ",IF(VLOOKUP(K128,ucty_synt!A:S,4,0)=RIGHT($Q$1,5),"podle SÚ",IF(SUMIF(ucty_synt!A:A,K128,ucty_synt!E:E)&lt;&gt;0,VLOOKUP(K128,ucty_synt!A:T,5,0),"doplnit")))))</f>
        <v>-</v>
      </c>
      <c r="P128" s="3" t="str">
        <f>IF(I128=0,"-",IF(VLOOKUP(K128,ucty_synt!A:S,4,0)=RIGHT($P$1,5),IF(SUMIFS(I:I,C:C,C128,D:D,D128)&gt;=0,VLOOKUP(K128,ucty_synt!A:E,5,0),VLOOKUP(K128,ucty_synt!A:L,12,0)),"-"))</f>
        <v>-</v>
      </c>
      <c r="Q128" s="3" t="str">
        <f>IF(I128=0,"-",IF(VLOOKUP(K128,ucty_synt!A:S,4,0)=RIGHT($Q$1,5),IF(SUMIFS(I:I,C:C,C128,K:K,K128)&gt;=0,VLOOKUP(K128,ucty_synt!A:E,5,0),VLOOKUP(K128,ucty_synt!A:L,12,0)),"-"))</f>
        <v>-</v>
      </c>
      <c r="R128" s="459"/>
      <c r="S128" s="8" t="str">
        <f t="shared" si="16"/>
        <v>-</v>
      </c>
      <c r="T128" s="15" t="str">
        <f>IF(S128="-","-",IF(M128="Rozvaha",VLOOKUP(S128,'radky_R'!A:O,14,0),IF(M128="Výsledovka",VLOOKUP(S128,'radky_V'!A:M,12,0),"-")))</f>
        <v>-</v>
      </c>
      <c r="U128" s="20" t="str">
        <f>IF(I128=0,"-",IF(M128="Rozvaha",VLOOKUP(S128,'radky_R'!A:O,8,0),IF(M128="Výsledovka",VLOOKUP(S128,'radky_V'!A:M,8,0),"-")))</f>
        <v>-</v>
      </c>
      <c r="V128" s="20" t="str">
        <f>IF(I128=0,"-",IF(M128="Rozvaha",VLOOKUP(S128,'radky_R'!A:O,9,0),IF(M128="Výsledovka",VLOOKUP(S128,'radky_V'!A:M,9,0),"-")))</f>
        <v>-</v>
      </c>
      <c r="W128" s="104" t="str">
        <f>IF(I128=0,"-",IF(M128="Rozvaha",VLOOKUP(S128,'radky_R'!A:O,15,0),IF(M128="Výsledovka",VLOOKUP(S128,'radky_V'!A:M,11,0),"-")))</f>
        <v>-</v>
      </c>
      <c r="X128" s="5" t="str">
        <f>IF(I128=0,"-",VLOOKUP(K128,ucty_synt!A:S,19,0))</f>
        <v>-</v>
      </c>
      <c r="Y128" s="6">
        <f t="shared" si="17"/>
        <v>0</v>
      </c>
      <c r="Z128" s="650" t="str">
        <f>IF(data[[#This Row],[uc_synt]]="-","-",VLOOKUP(data[[#This Row],[uc_synt]],ucty_synt!A:T,20,0))</f>
        <v>-</v>
      </c>
      <c r="AA128" s="650" t="str">
        <f>IF(COUNTIF(proc_exc!A:A,data[[#This Row],[ucet]])&gt;1,"chyba v proc_exc!",IF(COUNTIF(proc_exc!A:A,data[[#This Row],[ucet]])=1,VLOOKUP(data[[#This Row],[ucet]],proc_exc!A:E,5,0),data[[#This Row],[proces default]]))</f>
        <v>-</v>
      </c>
    </row>
    <row r="129" spans="2:27" x14ac:dyDescent="0.3">
      <c r="B129" s="36"/>
      <c r="C129" s="32"/>
      <c r="J129" s="15" t="str">
        <f t="shared" si="15"/>
        <v xml:space="preserve"> </v>
      </c>
      <c r="K129" s="3" t="str">
        <f>IF(I129=0,"-",VALUE(LEFT(D129,LEN(D129)-(INDEX!$E$13-3))))</f>
        <v>-</v>
      </c>
      <c r="L129" s="5" t="str">
        <f>IF(I129=0,"-",VLOOKUP(K129,ucty_synt!A:B,2,0))</f>
        <v>-</v>
      </c>
      <c r="M129" s="15" t="str">
        <f>IF(S129="-","-",VLOOKUP(K129,ucty_synt!A:S,3,0))</f>
        <v>-</v>
      </c>
      <c r="N129" s="15" t="str">
        <f>IF(I129=0,"-",IF(M129="Rozvaha",VLOOKUP(S129,'radky_R'!A:O,6,0),IF(M129="Výsledovka",VLOOKUP(S129,'radky_V'!A:M,6,0),"-")))</f>
        <v>-</v>
      </c>
      <c r="O129" s="3" t="str">
        <f>IF(I129=0,"-",IF(COUNTIF(ucty_synt!A:A,K129)=0,"účet n/a",IF(VLOOKUP(K129,ucty_synt!A:S,4,0)=RIGHT($P$1,5),"podle AÚ",IF(VLOOKUP(K129,ucty_synt!A:S,4,0)=RIGHT($Q$1,5),"podle SÚ",IF(SUMIF(ucty_synt!A:A,K129,ucty_synt!E:E)&lt;&gt;0,VLOOKUP(K129,ucty_synt!A:T,5,0),"doplnit")))))</f>
        <v>-</v>
      </c>
      <c r="P129" s="3" t="str">
        <f>IF(I129=0,"-",IF(VLOOKUP(K129,ucty_synt!A:S,4,0)=RIGHT($P$1,5),IF(SUMIFS(I:I,C:C,C129,D:D,D129)&gt;=0,VLOOKUP(K129,ucty_synt!A:E,5,0),VLOOKUP(K129,ucty_synt!A:L,12,0)),"-"))</f>
        <v>-</v>
      </c>
      <c r="Q129" s="3" t="str">
        <f>IF(I129=0,"-",IF(VLOOKUP(K129,ucty_synt!A:S,4,0)=RIGHT($Q$1,5),IF(SUMIFS(I:I,C:C,C129,K:K,K129)&gt;=0,VLOOKUP(K129,ucty_synt!A:E,5,0),VLOOKUP(K129,ucty_synt!A:L,12,0)),"-"))</f>
        <v>-</v>
      </c>
      <c r="R129" s="459"/>
      <c r="S129" s="8" t="str">
        <f t="shared" si="16"/>
        <v>-</v>
      </c>
      <c r="T129" s="15" t="str">
        <f>IF(S129="-","-",IF(M129="Rozvaha",VLOOKUP(S129,'radky_R'!A:O,14,0),IF(M129="Výsledovka",VLOOKUP(S129,'radky_V'!A:M,12,0),"-")))</f>
        <v>-</v>
      </c>
      <c r="U129" s="20" t="str">
        <f>IF(I129=0,"-",IF(M129="Rozvaha",VLOOKUP(S129,'radky_R'!A:O,8,0),IF(M129="Výsledovka",VLOOKUP(S129,'radky_V'!A:M,8,0),"-")))</f>
        <v>-</v>
      </c>
      <c r="V129" s="20" t="str">
        <f>IF(I129=0,"-",IF(M129="Rozvaha",VLOOKUP(S129,'radky_R'!A:O,9,0),IF(M129="Výsledovka",VLOOKUP(S129,'radky_V'!A:M,9,0),"-")))</f>
        <v>-</v>
      </c>
      <c r="W129" s="104" t="str">
        <f>IF(I129=0,"-",IF(M129="Rozvaha",VLOOKUP(S129,'radky_R'!A:O,15,0),IF(M129="Výsledovka",VLOOKUP(S129,'radky_V'!A:M,11,0),"-")))</f>
        <v>-</v>
      </c>
      <c r="X129" s="5" t="str">
        <f>IF(I129=0,"-",VLOOKUP(K129,ucty_synt!A:S,19,0))</f>
        <v>-</v>
      </c>
      <c r="Y129" s="6">
        <f t="shared" si="17"/>
        <v>0</v>
      </c>
      <c r="Z129" s="650" t="str">
        <f>IF(data[[#This Row],[uc_synt]]="-","-",VLOOKUP(data[[#This Row],[uc_synt]],ucty_synt!A:T,20,0))</f>
        <v>-</v>
      </c>
      <c r="AA129" s="650" t="str">
        <f>IF(COUNTIF(proc_exc!A:A,data[[#This Row],[ucet]])&gt;1,"chyba v proc_exc!",IF(COUNTIF(proc_exc!A:A,data[[#This Row],[ucet]])=1,VLOOKUP(data[[#This Row],[ucet]],proc_exc!A:E,5,0),data[[#This Row],[proces default]]))</f>
        <v>-</v>
      </c>
    </row>
    <row r="130" spans="2:27" x14ac:dyDescent="0.3">
      <c r="B130" s="36"/>
      <c r="C130" s="32"/>
      <c r="J130" s="15" t="str">
        <f t="shared" si="15"/>
        <v xml:space="preserve"> </v>
      </c>
      <c r="K130" s="3" t="str">
        <f>IF(I130=0,"-",VALUE(LEFT(D130,LEN(D130)-(INDEX!$E$13-3))))</f>
        <v>-</v>
      </c>
      <c r="L130" s="5" t="str">
        <f>IF(I130=0,"-",VLOOKUP(K130,ucty_synt!A:B,2,0))</f>
        <v>-</v>
      </c>
      <c r="M130" s="15" t="str">
        <f>IF(S130="-","-",VLOOKUP(K130,ucty_synt!A:S,3,0))</f>
        <v>-</v>
      </c>
      <c r="N130" s="15" t="str">
        <f>IF(I130=0,"-",IF(M130="Rozvaha",VLOOKUP(S130,'radky_R'!A:O,6,0),IF(M130="Výsledovka",VLOOKUP(S130,'radky_V'!A:M,6,0),"-")))</f>
        <v>-</v>
      </c>
      <c r="O130" s="3" t="str">
        <f>IF(I130=0,"-",IF(COUNTIF(ucty_synt!A:A,K130)=0,"účet n/a",IF(VLOOKUP(K130,ucty_synt!A:S,4,0)=RIGHT($P$1,5),"podle AÚ",IF(VLOOKUP(K130,ucty_synt!A:S,4,0)=RIGHT($Q$1,5),"podle SÚ",IF(SUMIF(ucty_synt!A:A,K130,ucty_synt!E:E)&lt;&gt;0,VLOOKUP(K130,ucty_synt!A:T,5,0),"doplnit")))))</f>
        <v>-</v>
      </c>
      <c r="P130" s="3" t="str">
        <f>IF(I130=0,"-",IF(VLOOKUP(K130,ucty_synt!A:S,4,0)=RIGHT($P$1,5),IF(SUMIFS(I:I,C:C,C130,D:D,D130)&gt;=0,VLOOKUP(K130,ucty_synt!A:E,5,0),VLOOKUP(K130,ucty_synt!A:L,12,0)),"-"))</f>
        <v>-</v>
      </c>
      <c r="Q130" s="3" t="str">
        <f>IF(I130=0,"-",IF(VLOOKUP(K130,ucty_synt!A:S,4,0)=RIGHT($Q$1,5),IF(SUMIFS(I:I,C:C,C130,K:K,K130)&gt;=0,VLOOKUP(K130,ucty_synt!A:E,5,0),VLOOKUP(K130,ucty_synt!A:L,12,0)),"-"))</f>
        <v>-</v>
      </c>
      <c r="R130" s="459"/>
      <c r="S130" s="8" t="str">
        <f t="shared" si="16"/>
        <v>-</v>
      </c>
      <c r="T130" s="15" t="str">
        <f>IF(S130="-","-",IF(M130="Rozvaha",VLOOKUP(S130,'radky_R'!A:O,14,0),IF(M130="Výsledovka",VLOOKUP(S130,'radky_V'!A:M,12,0),"-")))</f>
        <v>-</v>
      </c>
      <c r="U130" s="20" t="str">
        <f>IF(I130=0,"-",IF(M130="Rozvaha",VLOOKUP(S130,'radky_R'!A:O,8,0),IF(M130="Výsledovka",VLOOKUP(S130,'radky_V'!A:M,8,0),"-")))</f>
        <v>-</v>
      </c>
      <c r="V130" s="20" t="str">
        <f>IF(I130=0,"-",IF(M130="Rozvaha",VLOOKUP(S130,'radky_R'!A:O,9,0),IF(M130="Výsledovka",VLOOKUP(S130,'radky_V'!A:M,9,0),"-")))</f>
        <v>-</v>
      </c>
      <c r="W130" s="104" t="str">
        <f>IF(I130=0,"-",IF(M130="Rozvaha",VLOOKUP(S130,'radky_R'!A:O,15,0),IF(M130="Výsledovka",VLOOKUP(S130,'radky_V'!A:M,11,0),"-")))</f>
        <v>-</v>
      </c>
      <c r="X130" s="5" t="str">
        <f>IF(I130=0,"-",VLOOKUP(K130,ucty_synt!A:S,19,0))</f>
        <v>-</v>
      </c>
      <c r="Y130" s="6">
        <f t="shared" si="17"/>
        <v>0</v>
      </c>
      <c r="Z130" s="650" t="str">
        <f>IF(data[[#This Row],[uc_synt]]="-","-",VLOOKUP(data[[#This Row],[uc_synt]],ucty_synt!A:T,20,0))</f>
        <v>-</v>
      </c>
      <c r="AA130" s="650" t="str">
        <f>IF(COUNTIF(proc_exc!A:A,data[[#This Row],[ucet]])&gt;1,"chyba v proc_exc!",IF(COUNTIF(proc_exc!A:A,data[[#This Row],[ucet]])=1,VLOOKUP(data[[#This Row],[ucet]],proc_exc!A:E,5,0),data[[#This Row],[proces default]]))</f>
        <v>-</v>
      </c>
    </row>
    <row r="131" spans="2:27" x14ac:dyDescent="0.3">
      <c r="B131" s="36"/>
      <c r="C131" s="32"/>
      <c r="J131" s="15" t="str">
        <f t="shared" si="15"/>
        <v xml:space="preserve"> </v>
      </c>
      <c r="K131" s="3" t="str">
        <f>IF(I131=0,"-",VALUE(LEFT(D131,LEN(D131)-(INDEX!$E$13-3))))</f>
        <v>-</v>
      </c>
      <c r="L131" s="5" t="str">
        <f>IF(I131=0,"-",VLOOKUP(K131,ucty_synt!A:B,2,0))</f>
        <v>-</v>
      </c>
      <c r="M131" s="15" t="str">
        <f>IF(S131="-","-",VLOOKUP(K131,ucty_synt!A:S,3,0))</f>
        <v>-</v>
      </c>
      <c r="N131" s="15" t="str">
        <f>IF(I131=0,"-",IF(M131="Rozvaha",VLOOKUP(S131,'radky_R'!A:O,6,0),IF(M131="Výsledovka",VLOOKUP(S131,'radky_V'!A:M,6,0),"-")))</f>
        <v>-</v>
      </c>
      <c r="O131" s="3" t="str">
        <f>IF(I131=0,"-",IF(COUNTIF(ucty_synt!A:A,K131)=0,"účet n/a",IF(VLOOKUP(K131,ucty_synt!A:S,4,0)=RIGHT($P$1,5),"podle AÚ",IF(VLOOKUP(K131,ucty_synt!A:S,4,0)=RIGHT($Q$1,5),"podle SÚ",IF(SUMIF(ucty_synt!A:A,K131,ucty_synt!E:E)&lt;&gt;0,VLOOKUP(K131,ucty_synt!A:T,5,0),"doplnit")))))</f>
        <v>-</v>
      </c>
      <c r="P131" s="3" t="str">
        <f>IF(I131=0,"-",IF(VLOOKUP(K131,ucty_synt!A:S,4,0)=RIGHT($P$1,5),IF(SUMIFS(I:I,C:C,C131,D:D,D131)&gt;=0,VLOOKUP(K131,ucty_synt!A:E,5,0),VLOOKUP(K131,ucty_synt!A:L,12,0)),"-"))</f>
        <v>-</v>
      </c>
      <c r="Q131" s="3" t="str">
        <f>IF(I131=0,"-",IF(VLOOKUP(K131,ucty_synt!A:S,4,0)=RIGHT($Q$1,5),IF(SUMIFS(I:I,C:C,C131,K:K,K131)&gt;=0,VLOOKUP(K131,ucty_synt!A:E,5,0),VLOOKUP(K131,ucty_synt!A:L,12,0)),"-"))</f>
        <v>-</v>
      </c>
      <c r="R131" s="459"/>
      <c r="S131" s="8" t="str">
        <f t="shared" si="16"/>
        <v>-</v>
      </c>
      <c r="T131" s="15" t="str">
        <f>IF(S131="-","-",IF(M131="Rozvaha",VLOOKUP(S131,'radky_R'!A:O,14,0),IF(M131="Výsledovka",VLOOKUP(S131,'radky_V'!A:M,12,0),"-")))</f>
        <v>-</v>
      </c>
      <c r="U131" s="20" t="str">
        <f>IF(I131=0,"-",IF(M131="Rozvaha",VLOOKUP(S131,'radky_R'!A:O,8,0),IF(M131="Výsledovka",VLOOKUP(S131,'radky_V'!A:M,8,0),"-")))</f>
        <v>-</v>
      </c>
      <c r="V131" s="20" t="str">
        <f>IF(I131=0,"-",IF(M131="Rozvaha",VLOOKUP(S131,'radky_R'!A:O,9,0),IF(M131="Výsledovka",VLOOKUP(S131,'radky_V'!A:M,9,0),"-")))</f>
        <v>-</v>
      </c>
      <c r="W131" s="104" t="str">
        <f>IF(I131=0,"-",IF(M131="Rozvaha",VLOOKUP(S131,'radky_R'!A:O,15,0),IF(M131="Výsledovka",VLOOKUP(S131,'radky_V'!A:M,11,0),"-")))</f>
        <v>-</v>
      </c>
      <c r="X131" s="5" t="str">
        <f>IF(I131=0,"-",VLOOKUP(K131,ucty_synt!A:S,19,0))</f>
        <v>-</v>
      </c>
      <c r="Y131" s="6">
        <f t="shared" si="17"/>
        <v>0</v>
      </c>
      <c r="Z131" s="650" t="str">
        <f>IF(data[[#This Row],[uc_synt]]="-","-",VLOOKUP(data[[#This Row],[uc_synt]],ucty_synt!A:T,20,0))</f>
        <v>-</v>
      </c>
      <c r="AA131" s="650" t="str">
        <f>IF(COUNTIF(proc_exc!A:A,data[[#This Row],[ucet]])&gt;1,"chyba v proc_exc!",IF(COUNTIF(proc_exc!A:A,data[[#This Row],[ucet]])=1,VLOOKUP(data[[#This Row],[ucet]],proc_exc!A:E,5,0),data[[#This Row],[proces default]]))</f>
        <v>-</v>
      </c>
    </row>
    <row r="132" spans="2:27" x14ac:dyDescent="0.3">
      <c r="B132" s="36"/>
      <c r="C132" s="32"/>
      <c r="J132" s="15" t="str">
        <f t="shared" ref="J132:J150" si="18">CONCATENATE(D132," ",E132)</f>
        <v xml:space="preserve"> </v>
      </c>
      <c r="K132" s="3" t="str">
        <f>IF(I132=0,"-",VALUE(LEFT(D132,LEN(D132)-(INDEX!$E$13-3))))</f>
        <v>-</v>
      </c>
      <c r="L132" s="5" t="str">
        <f>IF(I132=0,"-",VLOOKUP(K132,ucty_synt!A:B,2,0))</f>
        <v>-</v>
      </c>
      <c r="M132" s="15" t="str">
        <f>IF(S132="-","-",VLOOKUP(K132,ucty_synt!A:S,3,0))</f>
        <v>-</v>
      </c>
      <c r="N132" s="15" t="str">
        <f>IF(I132=0,"-",IF(M132="Rozvaha",VLOOKUP(S132,'radky_R'!A:O,6,0),IF(M132="Výsledovka",VLOOKUP(S132,'radky_V'!A:M,6,0),"-")))</f>
        <v>-</v>
      </c>
      <c r="O132" s="3" t="str">
        <f>IF(I132=0,"-",IF(COUNTIF(ucty_synt!A:A,K132)=0,"účet n/a",IF(VLOOKUP(K132,ucty_synt!A:S,4,0)=RIGHT($P$1,5),"podle AÚ",IF(VLOOKUP(K132,ucty_synt!A:S,4,0)=RIGHT($Q$1,5),"podle SÚ",IF(SUMIF(ucty_synt!A:A,K132,ucty_synt!E:E)&lt;&gt;0,VLOOKUP(K132,ucty_synt!A:T,5,0),"doplnit")))))</f>
        <v>-</v>
      </c>
      <c r="P132" s="3" t="str">
        <f>IF(I132=0,"-",IF(VLOOKUP(K132,ucty_synt!A:S,4,0)=RIGHT($P$1,5),IF(SUMIFS(I:I,C:C,C132,D:D,D132)&gt;=0,VLOOKUP(K132,ucty_synt!A:E,5,0),VLOOKUP(K132,ucty_synt!A:L,12,0)),"-"))</f>
        <v>-</v>
      </c>
      <c r="Q132" s="3" t="str">
        <f>IF(I132=0,"-",IF(VLOOKUP(K132,ucty_synt!A:S,4,0)=RIGHT($Q$1,5),IF(SUMIFS(I:I,C:C,C132,K:K,K132)&gt;=0,VLOOKUP(K132,ucty_synt!A:E,5,0),VLOOKUP(K132,ucty_synt!A:L,12,0)),"-"))</f>
        <v>-</v>
      </c>
      <c r="R132" s="459"/>
      <c r="S132" s="8" t="str">
        <f t="shared" ref="S132:S150" si="19">IF(ISNUMBER(R132),R132,IF(ISNUMBER(Q132),Q132,IF(ISNUMBER(P132),P132,IF(ISNUMBER(O132),O132,"-"))))</f>
        <v>-</v>
      </c>
      <c r="T132" s="15" t="str">
        <f>IF(S132="-","-",IF(M132="Rozvaha",VLOOKUP(S132,'radky_R'!A:O,14,0),IF(M132="Výsledovka",VLOOKUP(S132,'radky_V'!A:M,12,0),"-")))</f>
        <v>-</v>
      </c>
      <c r="U132" s="20" t="str">
        <f>IF(I132=0,"-",IF(M132="Rozvaha",VLOOKUP(S132,'radky_R'!A:O,8,0),IF(M132="Výsledovka",VLOOKUP(S132,'radky_V'!A:M,8,0),"-")))</f>
        <v>-</v>
      </c>
      <c r="V132" s="20" t="str">
        <f>IF(I132=0,"-",IF(M132="Rozvaha",VLOOKUP(S132,'radky_R'!A:O,9,0),IF(M132="Výsledovka",VLOOKUP(S132,'radky_V'!A:M,9,0),"-")))</f>
        <v>-</v>
      </c>
      <c r="W132" s="104" t="str">
        <f>IF(I132=0,"-",IF(M132="Rozvaha",VLOOKUP(S132,'radky_R'!A:O,15,0),IF(M132="Výsledovka",VLOOKUP(S132,'radky_V'!A:M,11,0),"-")))</f>
        <v>-</v>
      </c>
      <c r="X132" s="5" t="str">
        <f>IF(I132=0,"-",VLOOKUP(K132,ucty_synt!A:S,19,0))</f>
        <v>-</v>
      </c>
      <c r="Y132" s="6">
        <f t="shared" ref="Y132:Y163" si="20">I132/zaokr</f>
        <v>0</v>
      </c>
      <c r="Z132" s="650" t="str">
        <f>IF(data[[#This Row],[uc_synt]]="-","-",VLOOKUP(data[[#This Row],[uc_synt]],ucty_synt!A:T,20,0))</f>
        <v>-</v>
      </c>
      <c r="AA132" s="650" t="str">
        <f>IF(COUNTIF(proc_exc!A:A,data[[#This Row],[ucet]])&gt;1,"chyba v proc_exc!",IF(COUNTIF(proc_exc!A:A,data[[#This Row],[ucet]])=1,VLOOKUP(data[[#This Row],[ucet]],proc_exc!A:E,5,0),data[[#This Row],[proces default]]))</f>
        <v>-</v>
      </c>
    </row>
    <row r="133" spans="2:27" x14ac:dyDescent="0.3">
      <c r="B133" s="36"/>
      <c r="C133" s="32"/>
      <c r="J133" s="15" t="str">
        <f t="shared" si="18"/>
        <v xml:space="preserve"> </v>
      </c>
      <c r="K133" s="3" t="str">
        <f>IF(I133=0,"-",VALUE(LEFT(D133,LEN(D133)-(INDEX!$E$13-3))))</f>
        <v>-</v>
      </c>
      <c r="L133" s="5" t="str">
        <f>IF(I133=0,"-",VLOOKUP(K133,ucty_synt!A:B,2,0))</f>
        <v>-</v>
      </c>
      <c r="M133" s="15" t="str">
        <f>IF(S133="-","-",VLOOKUP(K133,ucty_synt!A:S,3,0))</f>
        <v>-</v>
      </c>
      <c r="N133" s="15" t="str">
        <f>IF(I133=0,"-",IF(M133="Rozvaha",VLOOKUP(S133,'radky_R'!A:O,6,0),IF(M133="Výsledovka",VLOOKUP(S133,'radky_V'!A:M,6,0),"-")))</f>
        <v>-</v>
      </c>
      <c r="O133" s="3" t="str">
        <f>IF(I133=0,"-",IF(COUNTIF(ucty_synt!A:A,K133)=0,"účet n/a",IF(VLOOKUP(K133,ucty_synt!A:S,4,0)=RIGHT($P$1,5),"podle AÚ",IF(VLOOKUP(K133,ucty_synt!A:S,4,0)=RIGHT($Q$1,5),"podle SÚ",IF(SUMIF(ucty_synt!A:A,K133,ucty_synt!E:E)&lt;&gt;0,VLOOKUP(K133,ucty_synt!A:T,5,0),"doplnit")))))</f>
        <v>-</v>
      </c>
      <c r="P133" s="3" t="str">
        <f>IF(I133=0,"-",IF(VLOOKUP(K133,ucty_synt!A:S,4,0)=RIGHT($P$1,5),IF(SUMIFS(I:I,C:C,C133,D:D,D133)&gt;=0,VLOOKUP(K133,ucty_synt!A:E,5,0),VLOOKUP(K133,ucty_synt!A:L,12,0)),"-"))</f>
        <v>-</v>
      </c>
      <c r="Q133" s="3" t="str">
        <f>IF(I133=0,"-",IF(VLOOKUP(K133,ucty_synt!A:S,4,0)=RIGHT($Q$1,5),IF(SUMIFS(I:I,C:C,C133,K:K,K133)&gt;=0,VLOOKUP(K133,ucty_synt!A:E,5,0),VLOOKUP(K133,ucty_synt!A:L,12,0)),"-"))</f>
        <v>-</v>
      </c>
      <c r="R133" s="459"/>
      <c r="S133" s="8" t="str">
        <f t="shared" si="19"/>
        <v>-</v>
      </c>
      <c r="T133" s="15" t="str">
        <f>IF(S133="-","-",IF(M133="Rozvaha",VLOOKUP(S133,'radky_R'!A:O,14,0),IF(M133="Výsledovka",VLOOKUP(S133,'radky_V'!A:M,12,0),"-")))</f>
        <v>-</v>
      </c>
      <c r="U133" s="20" t="str">
        <f>IF(I133=0,"-",IF(M133="Rozvaha",VLOOKUP(S133,'radky_R'!A:O,8,0),IF(M133="Výsledovka",VLOOKUP(S133,'radky_V'!A:M,8,0),"-")))</f>
        <v>-</v>
      </c>
      <c r="V133" s="20" t="str">
        <f>IF(I133=0,"-",IF(M133="Rozvaha",VLOOKUP(S133,'radky_R'!A:O,9,0),IF(M133="Výsledovka",VLOOKUP(S133,'radky_V'!A:M,9,0),"-")))</f>
        <v>-</v>
      </c>
      <c r="W133" s="104" t="str">
        <f>IF(I133=0,"-",IF(M133="Rozvaha",VLOOKUP(S133,'radky_R'!A:O,15,0),IF(M133="Výsledovka",VLOOKUP(S133,'radky_V'!A:M,11,0),"-")))</f>
        <v>-</v>
      </c>
      <c r="X133" s="5" t="str">
        <f>IF(I133=0,"-",VLOOKUP(K133,ucty_synt!A:S,19,0))</f>
        <v>-</v>
      </c>
      <c r="Y133" s="6">
        <f t="shared" si="20"/>
        <v>0</v>
      </c>
      <c r="Z133" s="650" t="str">
        <f>IF(data[[#This Row],[uc_synt]]="-","-",VLOOKUP(data[[#This Row],[uc_synt]],ucty_synt!A:T,20,0))</f>
        <v>-</v>
      </c>
      <c r="AA133" s="650" t="str">
        <f>IF(COUNTIF(proc_exc!A:A,data[[#This Row],[ucet]])&gt;1,"chyba v proc_exc!",IF(COUNTIF(proc_exc!A:A,data[[#This Row],[ucet]])=1,VLOOKUP(data[[#This Row],[ucet]],proc_exc!A:E,5,0),data[[#This Row],[proces default]]))</f>
        <v>-</v>
      </c>
    </row>
    <row r="134" spans="2:27" x14ac:dyDescent="0.3">
      <c r="B134" s="36"/>
      <c r="C134" s="32"/>
      <c r="J134" s="15" t="str">
        <f t="shared" si="18"/>
        <v xml:space="preserve"> </v>
      </c>
      <c r="K134" s="3" t="str">
        <f>IF(I134=0,"-",VALUE(LEFT(D134,LEN(D134)-(INDEX!$E$13-3))))</f>
        <v>-</v>
      </c>
      <c r="L134" s="5" t="str">
        <f>IF(I134=0,"-",VLOOKUP(K134,ucty_synt!A:B,2,0))</f>
        <v>-</v>
      </c>
      <c r="M134" s="15" t="str">
        <f>IF(S134="-","-",VLOOKUP(K134,ucty_synt!A:S,3,0))</f>
        <v>-</v>
      </c>
      <c r="N134" s="15" t="str">
        <f>IF(I134=0,"-",IF(M134="Rozvaha",VLOOKUP(S134,'radky_R'!A:O,6,0),IF(M134="Výsledovka",VLOOKUP(S134,'radky_V'!A:M,6,0),"-")))</f>
        <v>-</v>
      </c>
      <c r="O134" s="3" t="str">
        <f>IF(I134=0,"-",IF(COUNTIF(ucty_synt!A:A,K134)=0,"účet n/a",IF(VLOOKUP(K134,ucty_synt!A:S,4,0)=RIGHT($P$1,5),"podle AÚ",IF(VLOOKUP(K134,ucty_synt!A:S,4,0)=RIGHT($Q$1,5),"podle SÚ",IF(SUMIF(ucty_synt!A:A,K134,ucty_synt!E:E)&lt;&gt;0,VLOOKUP(K134,ucty_synt!A:T,5,0),"doplnit")))))</f>
        <v>-</v>
      </c>
      <c r="P134" s="3" t="str">
        <f>IF(I134=0,"-",IF(VLOOKUP(K134,ucty_synt!A:S,4,0)=RIGHT($P$1,5),IF(SUMIFS(I:I,C:C,C134,D:D,D134)&gt;=0,VLOOKUP(K134,ucty_synt!A:E,5,0),VLOOKUP(K134,ucty_synt!A:L,12,0)),"-"))</f>
        <v>-</v>
      </c>
      <c r="Q134" s="3" t="str">
        <f>IF(I134=0,"-",IF(VLOOKUP(K134,ucty_synt!A:S,4,0)=RIGHT($Q$1,5),IF(SUMIFS(I:I,C:C,C134,K:K,K134)&gt;=0,VLOOKUP(K134,ucty_synt!A:E,5,0),VLOOKUP(K134,ucty_synt!A:L,12,0)),"-"))</f>
        <v>-</v>
      </c>
      <c r="R134" s="459"/>
      <c r="S134" s="8" t="str">
        <f t="shared" si="19"/>
        <v>-</v>
      </c>
      <c r="T134" s="15" t="str">
        <f>IF(S134="-","-",IF(M134="Rozvaha",VLOOKUP(S134,'radky_R'!A:O,14,0),IF(M134="Výsledovka",VLOOKUP(S134,'radky_V'!A:M,12,0),"-")))</f>
        <v>-</v>
      </c>
      <c r="U134" s="20" t="str">
        <f>IF(I134=0,"-",IF(M134="Rozvaha",VLOOKUP(S134,'radky_R'!A:O,8,0),IF(M134="Výsledovka",VLOOKUP(S134,'radky_V'!A:M,8,0),"-")))</f>
        <v>-</v>
      </c>
      <c r="V134" s="20" t="str">
        <f>IF(I134=0,"-",IF(M134="Rozvaha",VLOOKUP(S134,'radky_R'!A:O,9,0),IF(M134="Výsledovka",VLOOKUP(S134,'radky_V'!A:M,9,0),"-")))</f>
        <v>-</v>
      </c>
      <c r="W134" s="104" t="str">
        <f>IF(I134=0,"-",IF(M134="Rozvaha",VLOOKUP(S134,'radky_R'!A:O,15,0),IF(M134="Výsledovka",VLOOKUP(S134,'radky_V'!A:M,11,0),"-")))</f>
        <v>-</v>
      </c>
      <c r="X134" s="5" t="str">
        <f>IF(I134=0,"-",VLOOKUP(K134,ucty_synt!A:S,19,0))</f>
        <v>-</v>
      </c>
      <c r="Y134" s="6">
        <f t="shared" si="20"/>
        <v>0</v>
      </c>
      <c r="Z134" s="650" t="str">
        <f>IF(data[[#This Row],[uc_synt]]="-","-",VLOOKUP(data[[#This Row],[uc_synt]],ucty_synt!A:T,20,0))</f>
        <v>-</v>
      </c>
      <c r="AA134" s="650" t="str">
        <f>IF(COUNTIF(proc_exc!A:A,data[[#This Row],[ucet]])&gt;1,"chyba v proc_exc!",IF(COUNTIF(proc_exc!A:A,data[[#This Row],[ucet]])=1,VLOOKUP(data[[#This Row],[ucet]],proc_exc!A:E,5,0),data[[#This Row],[proces default]]))</f>
        <v>-</v>
      </c>
    </row>
    <row r="135" spans="2:27" x14ac:dyDescent="0.3">
      <c r="B135" s="36"/>
      <c r="C135" s="32"/>
      <c r="J135" s="15" t="str">
        <f t="shared" si="18"/>
        <v xml:space="preserve"> </v>
      </c>
      <c r="K135" s="3" t="str">
        <f>IF(I135=0,"-",VALUE(LEFT(D135,LEN(D135)-(INDEX!$E$13-3))))</f>
        <v>-</v>
      </c>
      <c r="L135" s="5" t="str">
        <f>IF(I135=0,"-",VLOOKUP(K135,ucty_synt!A:B,2,0))</f>
        <v>-</v>
      </c>
      <c r="M135" s="15" t="str">
        <f>IF(S135="-","-",VLOOKUP(K135,ucty_synt!A:S,3,0))</f>
        <v>-</v>
      </c>
      <c r="N135" s="15" t="str">
        <f>IF(I135=0,"-",IF(M135="Rozvaha",VLOOKUP(S135,'radky_R'!A:O,6,0),IF(M135="Výsledovka",VLOOKUP(S135,'radky_V'!A:M,6,0),"-")))</f>
        <v>-</v>
      </c>
      <c r="O135" s="3" t="str">
        <f>IF(I135=0,"-",IF(COUNTIF(ucty_synt!A:A,K135)=0,"účet n/a",IF(VLOOKUP(K135,ucty_synt!A:S,4,0)=RIGHT($P$1,5),"podle AÚ",IF(VLOOKUP(K135,ucty_synt!A:S,4,0)=RIGHT($Q$1,5),"podle SÚ",IF(SUMIF(ucty_synt!A:A,K135,ucty_synt!E:E)&lt;&gt;0,VLOOKUP(K135,ucty_synt!A:T,5,0),"doplnit")))))</f>
        <v>-</v>
      </c>
      <c r="P135" s="3" t="str">
        <f>IF(I135=0,"-",IF(VLOOKUP(K135,ucty_synt!A:S,4,0)=RIGHT($P$1,5),IF(SUMIFS(I:I,C:C,C135,D:D,D135)&gt;=0,VLOOKUP(K135,ucty_synt!A:E,5,0),VLOOKUP(K135,ucty_synt!A:L,12,0)),"-"))</f>
        <v>-</v>
      </c>
      <c r="Q135" s="3" t="str">
        <f>IF(I135=0,"-",IF(VLOOKUP(K135,ucty_synt!A:S,4,0)=RIGHT($Q$1,5),IF(SUMIFS(I:I,C:C,C135,K:K,K135)&gt;=0,VLOOKUP(K135,ucty_synt!A:E,5,0),VLOOKUP(K135,ucty_synt!A:L,12,0)),"-"))</f>
        <v>-</v>
      </c>
      <c r="R135" s="459"/>
      <c r="S135" s="8" t="str">
        <f t="shared" si="19"/>
        <v>-</v>
      </c>
      <c r="T135" s="15" t="str">
        <f>IF(S135="-","-",IF(M135="Rozvaha",VLOOKUP(S135,'radky_R'!A:O,14,0),IF(M135="Výsledovka",VLOOKUP(S135,'radky_V'!A:M,12,0),"-")))</f>
        <v>-</v>
      </c>
      <c r="U135" s="20" t="str">
        <f>IF(I135=0,"-",IF(M135="Rozvaha",VLOOKUP(S135,'radky_R'!A:O,8,0),IF(M135="Výsledovka",VLOOKUP(S135,'radky_V'!A:M,8,0),"-")))</f>
        <v>-</v>
      </c>
      <c r="V135" s="20" t="str">
        <f>IF(I135=0,"-",IF(M135="Rozvaha",VLOOKUP(S135,'radky_R'!A:O,9,0),IF(M135="Výsledovka",VLOOKUP(S135,'radky_V'!A:M,9,0),"-")))</f>
        <v>-</v>
      </c>
      <c r="W135" s="104" t="str">
        <f>IF(I135=0,"-",IF(M135="Rozvaha",VLOOKUP(S135,'radky_R'!A:O,15,0),IF(M135="Výsledovka",VLOOKUP(S135,'radky_V'!A:M,11,0),"-")))</f>
        <v>-</v>
      </c>
      <c r="X135" s="5" t="str">
        <f>IF(I135=0,"-",VLOOKUP(K135,ucty_synt!A:S,19,0))</f>
        <v>-</v>
      </c>
      <c r="Y135" s="6">
        <f t="shared" si="20"/>
        <v>0</v>
      </c>
      <c r="Z135" s="650" t="str">
        <f>IF(data[[#This Row],[uc_synt]]="-","-",VLOOKUP(data[[#This Row],[uc_synt]],ucty_synt!A:T,20,0))</f>
        <v>-</v>
      </c>
      <c r="AA135" s="650" t="str">
        <f>IF(COUNTIF(proc_exc!A:A,data[[#This Row],[ucet]])&gt;1,"chyba v proc_exc!",IF(COUNTIF(proc_exc!A:A,data[[#This Row],[ucet]])=1,VLOOKUP(data[[#This Row],[ucet]],proc_exc!A:E,5,0),data[[#This Row],[proces default]]))</f>
        <v>-</v>
      </c>
    </row>
    <row r="136" spans="2:27" x14ac:dyDescent="0.3">
      <c r="B136" s="36"/>
      <c r="C136" s="32"/>
      <c r="J136" s="15" t="str">
        <f t="shared" si="18"/>
        <v xml:space="preserve"> </v>
      </c>
      <c r="K136" s="3" t="str">
        <f>IF(I136=0,"-",VALUE(LEFT(D136,LEN(D136)-(INDEX!$E$13-3))))</f>
        <v>-</v>
      </c>
      <c r="L136" s="5" t="str">
        <f>IF(I136=0,"-",VLOOKUP(K136,ucty_synt!A:B,2,0))</f>
        <v>-</v>
      </c>
      <c r="M136" s="15" t="str">
        <f>IF(S136="-","-",VLOOKUP(K136,ucty_synt!A:S,3,0))</f>
        <v>-</v>
      </c>
      <c r="N136" s="15" t="str">
        <f>IF(I136=0,"-",IF(M136="Rozvaha",VLOOKUP(S136,'radky_R'!A:O,6,0),IF(M136="Výsledovka",VLOOKUP(S136,'radky_V'!A:M,6,0),"-")))</f>
        <v>-</v>
      </c>
      <c r="O136" s="3" t="str">
        <f>IF(I136=0,"-",IF(COUNTIF(ucty_synt!A:A,K136)=0,"účet n/a",IF(VLOOKUP(K136,ucty_synt!A:S,4,0)=RIGHT($P$1,5),"podle AÚ",IF(VLOOKUP(K136,ucty_synt!A:S,4,0)=RIGHT($Q$1,5),"podle SÚ",IF(SUMIF(ucty_synt!A:A,K136,ucty_synt!E:E)&lt;&gt;0,VLOOKUP(K136,ucty_synt!A:T,5,0),"doplnit")))))</f>
        <v>-</v>
      </c>
      <c r="P136" s="3" t="str">
        <f>IF(I136=0,"-",IF(VLOOKUP(K136,ucty_synt!A:S,4,0)=RIGHT($P$1,5),IF(SUMIFS(I:I,C:C,C136,D:D,D136)&gt;=0,VLOOKUP(K136,ucty_synt!A:E,5,0),VLOOKUP(K136,ucty_synt!A:L,12,0)),"-"))</f>
        <v>-</v>
      </c>
      <c r="Q136" s="3" t="str">
        <f>IF(I136=0,"-",IF(VLOOKUP(K136,ucty_synt!A:S,4,0)=RIGHT($Q$1,5),IF(SUMIFS(I:I,C:C,C136,K:K,K136)&gt;=0,VLOOKUP(K136,ucty_synt!A:E,5,0),VLOOKUP(K136,ucty_synt!A:L,12,0)),"-"))</f>
        <v>-</v>
      </c>
      <c r="R136" s="459"/>
      <c r="S136" s="8" t="str">
        <f t="shared" si="19"/>
        <v>-</v>
      </c>
      <c r="T136" s="15" t="str">
        <f>IF(S136="-","-",IF(M136="Rozvaha",VLOOKUP(S136,'radky_R'!A:O,14,0),IF(M136="Výsledovka",VLOOKUP(S136,'radky_V'!A:M,12,0),"-")))</f>
        <v>-</v>
      </c>
      <c r="U136" s="20" t="str">
        <f>IF(I136=0,"-",IF(M136="Rozvaha",VLOOKUP(S136,'radky_R'!A:O,8,0),IF(M136="Výsledovka",VLOOKUP(S136,'radky_V'!A:M,8,0),"-")))</f>
        <v>-</v>
      </c>
      <c r="V136" s="20" t="str">
        <f>IF(I136=0,"-",IF(M136="Rozvaha",VLOOKUP(S136,'radky_R'!A:O,9,0),IF(M136="Výsledovka",VLOOKUP(S136,'radky_V'!A:M,9,0),"-")))</f>
        <v>-</v>
      </c>
      <c r="W136" s="104" t="str">
        <f>IF(I136=0,"-",IF(M136="Rozvaha",VLOOKUP(S136,'radky_R'!A:O,15,0),IF(M136="Výsledovka",VLOOKUP(S136,'radky_V'!A:M,11,0),"-")))</f>
        <v>-</v>
      </c>
      <c r="X136" s="5" t="str">
        <f>IF(I136=0,"-",VLOOKUP(K136,ucty_synt!A:S,19,0))</f>
        <v>-</v>
      </c>
      <c r="Y136" s="6">
        <f t="shared" si="20"/>
        <v>0</v>
      </c>
      <c r="Z136" s="650" t="str">
        <f>IF(data[[#This Row],[uc_synt]]="-","-",VLOOKUP(data[[#This Row],[uc_synt]],ucty_synt!A:T,20,0))</f>
        <v>-</v>
      </c>
      <c r="AA136" s="650" t="str">
        <f>IF(COUNTIF(proc_exc!A:A,data[[#This Row],[ucet]])&gt;1,"chyba v proc_exc!",IF(COUNTIF(proc_exc!A:A,data[[#This Row],[ucet]])=1,VLOOKUP(data[[#This Row],[ucet]],proc_exc!A:E,5,0),data[[#This Row],[proces default]]))</f>
        <v>-</v>
      </c>
    </row>
    <row r="137" spans="2:27" x14ac:dyDescent="0.3">
      <c r="B137" s="36"/>
      <c r="C137" s="32"/>
      <c r="J137" s="15" t="str">
        <f t="shared" si="18"/>
        <v xml:space="preserve"> </v>
      </c>
      <c r="K137" s="3" t="str">
        <f>IF(I137=0,"-",VALUE(LEFT(D137,LEN(D137)-(INDEX!$E$13-3))))</f>
        <v>-</v>
      </c>
      <c r="L137" s="5" t="str">
        <f>IF(I137=0,"-",VLOOKUP(K137,ucty_synt!A:B,2,0))</f>
        <v>-</v>
      </c>
      <c r="M137" s="15" t="str">
        <f>IF(S137="-","-",VLOOKUP(K137,ucty_synt!A:S,3,0))</f>
        <v>-</v>
      </c>
      <c r="N137" s="15" t="str">
        <f>IF(I137=0,"-",IF(M137="Rozvaha",VLOOKUP(S137,'radky_R'!A:O,6,0),IF(M137="Výsledovka",VLOOKUP(S137,'radky_V'!A:M,6,0),"-")))</f>
        <v>-</v>
      </c>
      <c r="O137" s="3" t="str">
        <f>IF(I137=0,"-",IF(COUNTIF(ucty_synt!A:A,K137)=0,"účet n/a",IF(VLOOKUP(K137,ucty_synt!A:S,4,0)=RIGHT($P$1,5),"podle AÚ",IF(VLOOKUP(K137,ucty_synt!A:S,4,0)=RIGHT($Q$1,5),"podle SÚ",IF(SUMIF(ucty_synt!A:A,K137,ucty_synt!E:E)&lt;&gt;0,VLOOKUP(K137,ucty_synt!A:T,5,0),"doplnit")))))</f>
        <v>-</v>
      </c>
      <c r="P137" s="3" t="str">
        <f>IF(I137=0,"-",IF(VLOOKUP(K137,ucty_synt!A:S,4,0)=RIGHT($P$1,5),IF(SUMIFS(I:I,C:C,C137,D:D,D137)&gt;=0,VLOOKUP(K137,ucty_synt!A:E,5,0),VLOOKUP(K137,ucty_synt!A:L,12,0)),"-"))</f>
        <v>-</v>
      </c>
      <c r="Q137" s="3" t="str">
        <f>IF(I137=0,"-",IF(VLOOKUP(K137,ucty_synt!A:S,4,0)=RIGHT($Q$1,5),IF(SUMIFS(I:I,C:C,C137,K:K,K137)&gt;=0,VLOOKUP(K137,ucty_synt!A:E,5,0),VLOOKUP(K137,ucty_synt!A:L,12,0)),"-"))</f>
        <v>-</v>
      </c>
      <c r="R137" s="459"/>
      <c r="S137" s="8" t="str">
        <f t="shared" si="19"/>
        <v>-</v>
      </c>
      <c r="T137" s="15" t="str">
        <f>IF(S137="-","-",IF(M137="Rozvaha",VLOOKUP(S137,'radky_R'!A:O,14,0),IF(M137="Výsledovka",VLOOKUP(S137,'radky_V'!A:M,12,0),"-")))</f>
        <v>-</v>
      </c>
      <c r="U137" s="20" t="str">
        <f>IF(I137=0,"-",IF(M137="Rozvaha",VLOOKUP(S137,'radky_R'!A:O,8,0),IF(M137="Výsledovka",VLOOKUP(S137,'radky_V'!A:M,8,0),"-")))</f>
        <v>-</v>
      </c>
      <c r="V137" s="20" t="str">
        <f>IF(I137=0,"-",IF(M137="Rozvaha",VLOOKUP(S137,'radky_R'!A:O,9,0),IF(M137="Výsledovka",VLOOKUP(S137,'radky_V'!A:M,9,0),"-")))</f>
        <v>-</v>
      </c>
      <c r="W137" s="104" t="str">
        <f>IF(I137=0,"-",IF(M137="Rozvaha",VLOOKUP(S137,'radky_R'!A:O,15,0),IF(M137="Výsledovka",VLOOKUP(S137,'radky_V'!A:M,11,0),"-")))</f>
        <v>-</v>
      </c>
      <c r="X137" s="5" t="str">
        <f>IF(I137=0,"-",VLOOKUP(K137,ucty_synt!A:S,19,0))</f>
        <v>-</v>
      </c>
      <c r="Y137" s="6">
        <f t="shared" si="20"/>
        <v>0</v>
      </c>
      <c r="Z137" s="650" t="str">
        <f>IF(data[[#This Row],[uc_synt]]="-","-",VLOOKUP(data[[#This Row],[uc_synt]],ucty_synt!A:T,20,0))</f>
        <v>-</v>
      </c>
      <c r="AA137" s="650" t="str">
        <f>IF(COUNTIF(proc_exc!A:A,data[[#This Row],[ucet]])&gt;1,"chyba v proc_exc!",IF(COUNTIF(proc_exc!A:A,data[[#This Row],[ucet]])=1,VLOOKUP(data[[#This Row],[ucet]],proc_exc!A:E,5,0),data[[#This Row],[proces default]]))</f>
        <v>-</v>
      </c>
    </row>
    <row r="138" spans="2:27" x14ac:dyDescent="0.3">
      <c r="B138" s="36"/>
      <c r="C138" s="32"/>
      <c r="J138" s="15" t="str">
        <f t="shared" si="18"/>
        <v xml:space="preserve"> </v>
      </c>
      <c r="K138" s="3" t="str">
        <f>IF(I138=0,"-",VALUE(LEFT(D138,LEN(D138)-(INDEX!$E$13-3))))</f>
        <v>-</v>
      </c>
      <c r="L138" s="5" t="str">
        <f>IF(I138=0,"-",VLOOKUP(K138,ucty_synt!A:B,2,0))</f>
        <v>-</v>
      </c>
      <c r="M138" s="15" t="str">
        <f>IF(S138="-","-",VLOOKUP(K138,ucty_synt!A:S,3,0))</f>
        <v>-</v>
      </c>
      <c r="N138" s="15" t="str">
        <f>IF(I138=0,"-",IF(M138="Rozvaha",VLOOKUP(S138,'radky_R'!A:O,6,0),IF(M138="Výsledovka",VLOOKUP(S138,'radky_V'!A:M,6,0),"-")))</f>
        <v>-</v>
      </c>
      <c r="O138" s="3" t="str">
        <f>IF(I138=0,"-",IF(COUNTIF(ucty_synt!A:A,K138)=0,"účet n/a",IF(VLOOKUP(K138,ucty_synt!A:S,4,0)=RIGHT($P$1,5),"podle AÚ",IF(VLOOKUP(K138,ucty_synt!A:S,4,0)=RIGHT($Q$1,5),"podle SÚ",IF(SUMIF(ucty_synt!A:A,K138,ucty_synt!E:E)&lt;&gt;0,VLOOKUP(K138,ucty_synt!A:T,5,0),"doplnit")))))</f>
        <v>-</v>
      </c>
      <c r="P138" s="3" t="str">
        <f>IF(I138=0,"-",IF(VLOOKUP(K138,ucty_synt!A:S,4,0)=RIGHT($P$1,5),IF(SUMIFS(I:I,C:C,C138,D:D,D138)&gt;=0,VLOOKUP(K138,ucty_synt!A:E,5,0),VLOOKUP(K138,ucty_synt!A:L,12,0)),"-"))</f>
        <v>-</v>
      </c>
      <c r="Q138" s="3" t="str">
        <f>IF(I138=0,"-",IF(VLOOKUP(K138,ucty_synt!A:S,4,0)=RIGHT($Q$1,5),IF(SUMIFS(I:I,C:C,C138,K:K,K138)&gt;=0,VLOOKUP(K138,ucty_synt!A:E,5,0),VLOOKUP(K138,ucty_synt!A:L,12,0)),"-"))</f>
        <v>-</v>
      </c>
      <c r="R138" s="459"/>
      <c r="S138" s="8" t="str">
        <f t="shared" si="19"/>
        <v>-</v>
      </c>
      <c r="T138" s="15" t="str">
        <f>IF(S138="-","-",IF(M138="Rozvaha",VLOOKUP(S138,'radky_R'!A:O,14,0),IF(M138="Výsledovka",VLOOKUP(S138,'radky_V'!A:M,12,0),"-")))</f>
        <v>-</v>
      </c>
      <c r="U138" s="20" t="str">
        <f>IF(I138=0,"-",IF(M138="Rozvaha",VLOOKUP(S138,'radky_R'!A:O,8,0),IF(M138="Výsledovka",VLOOKUP(S138,'radky_V'!A:M,8,0),"-")))</f>
        <v>-</v>
      </c>
      <c r="V138" s="20" t="str">
        <f>IF(I138=0,"-",IF(M138="Rozvaha",VLOOKUP(S138,'radky_R'!A:O,9,0),IF(M138="Výsledovka",VLOOKUP(S138,'radky_V'!A:M,9,0),"-")))</f>
        <v>-</v>
      </c>
      <c r="W138" s="104" t="str">
        <f>IF(I138=0,"-",IF(M138="Rozvaha",VLOOKUP(S138,'radky_R'!A:O,15,0),IF(M138="Výsledovka",VLOOKUP(S138,'radky_V'!A:M,11,0),"-")))</f>
        <v>-</v>
      </c>
      <c r="X138" s="5" t="str">
        <f>IF(I138=0,"-",VLOOKUP(K138,ucty_synt!A:S,19,0))</f>
        <v>-</v>
      </c>
      <c r="Y138" s="6">
        <f t="shared" si="20"/>
        <v>0</v>
      </c>
      <c r="Z138" s="650" t="str">
        <f>IF(data[[#This Row],[uc_synt]]="-","-",VLOOKUP(data[[#This Row],[uc_synt]],ucty_synt!A:T,20,0))</f>
        <v>-</v>
      </c>
      <c r="AA138" s="650" t="str">
        <f>IF(COUNTIF(proc_exc!A:A,data[[#This Row],[ucet]])&gt;1,"chyba v proc_exc!",IF(COUNTIF(proc_exc!A:A,data[[#This Row],[ucet]])=1,VLOOKUP(data[[#This Row],[ucet]],proc_exc!A:E,5,0),data[[#This Row],[proces default]]))</f>
        <v>-</v>
      </c>
    </row>
    <row r="139" spans="2:27" x14ac:dyDescent="0.3">
      <c r="B139" s="36"/>
      <c r="C139" s="32"/>
      <c r="J139" s="15" t="str">
        <f t="shared" si="18"/>
        <v xml:space="preserve"> </v>
      </c>
      <c r="K139" s="3" t="str">
        <f>IF(I139=0,"-",VALUE(LEFT(D139,LEN(D139)-(INDEX!$E$13-3))))</f>
        <v>-</v>
      </c>
      <c r="L139" s="5" t="str">
        <f>IF(I139=0,"-",VLOOKUP(K139,ucty_synt!A:B,2,0))</f>
        <v>-</v>
      </c>
      <c r="M139" s="15" t="str">
        <f>IF(S139="-","-",VLOOKUP(K139,ucty_synt!A:S,3,0))</f>
        <v>-</v>
      </c>
      <c r="N139" s="15" t="str">
        <f>IF(I139=0,"-",IF(M139="Rozvaha",VLOOKUP(S139,'radky_R'!A:O,6,0),IF(M139="Výsledovka",VLOOKUP(S139,'radky_V'!A:M,6,0),"-")))</f>
        <v>-</v>
      </c>
      <c r="O139" s="3" t="str">
        <f>IF(I139=0,"-",IF(COUNTIF(ucty_synt!A:A,K139)=0,"účet n/a",IF(VLOOKUP(K139,ucty_synt!A:S,4,0)=RIGHT($P$1,5),"podle AÚ",IF(VLOOKUP(K139,ucty_synt!A:S,4,0)=RIGHT($Q$1,5),"podle SÚ",IF(SUMIF(ucty_synt!A:A,K139,ucty_synt!E:E)&lt;&gt;0,VLOOKUP(K139,ucty_synt!A:T,5,0),"doplnit")))))</f>
        <v>-</v>
      </c>
      <c r="P139" s="3" t="str">
        <f>IF(I139=0,"-",IF(VLOOKUP(K139,ucty_synt!A:S,4,0)=RIGHT($P$1,5),IF(SUMIFS(I:I,C:C,C139,D:D,D139)&gt;=0,VLOOKUP(K139,ucty_synt!A:E,5,0),VLOOKUP(K139,ucty_synt!A:L,12,0)),"-"))</f>
        <v>-</v>
      </c>
      <c r="Q139" s="3" t="str">
        <f>IF(I139=0,"-",IF(VLOOKUP(K139,ucty_synt!A:S,4,0)=RIGHT($Q$1,5),IF(SUMIFS(I:I,C:C,C139,K:K,K139)&gt;=0,VLOOKUP(K139,ucty_synt!A:E,5,0),VLOOKUP(K139,ucty_synt!A:L,12,0)),"-"))</f>
        <v>-</v>
      </c>
      <c r="R139" s="459"/>
      <c r="S139" s="8" t="str">
        <f t="shared" si="19"/>
        <v>-</v>
      </c>
      <c r="T139" s="15" t="str">
        <f>IF(S139="-","-",IF(M139="Rozvaha",VLOOKUP(S139,'radky_R'!A:O,14,0),IF(M139="Výsledovka",VLOOKUP(S139,'radky_V'!A:M,12,0),"-")))</f>
        <v>-</v>
      </c>
      <c r="U139" s="20" t="str">
        <f>IF(I139=0,"-",IF(M139="Rozvaha",VLOOKUP(S139,'radky_R'!A:O,8,0),IF(M139="Výsledovka",VLOOKUP(S139,'radky_V'!A:M,8,0),"-")))</f>
        <v>-</v>
      </c>
      <c r="V139" s="20" t="str">
        <f>IF(I139=0,"-",IF(M139="Rozvaha",VLOOKUP(S139,'radky_R'!A:O,9,0),IF(M139="Výsledovka",VLOOKUP(S139,'radky_V'!A:M,9,0),"-")))</f>
        <v>-</v>
      </c>
      <c r="W139" s="104" t="str">
        <f>IF(I139=0,"-",IF(M139="Rozvaha",VLOOKUP(S139,'radky_R'!A:O,15,0),IF(M139="Výsledovka",VLOOKUP(S139,'radky_V'!A:M,11,0),"-")))</f>
        <v>-</v>
      </c>
      <c r="X139" s="5" t="str">
        <f>IF(I139=0,"-",VLOOKUP(K139,ucty_synt!A:S,19,0))</f>
        <v>-</v>
      </c>
      <c r="Y139" s="6">
        <f t="shared" si="20"/>
        <v>0</v>
      </c>
      <c r="Z139" s="650" t="str">
        <f>IF(data[[#This Row],[uc_synt]]="-","-",VLOOKUP(data[[#This Row],[uc_synt]],ucty_synt!A:T,20,0))</f>
        <v>-</v>
      </c>
      <c r="AA139" s="650" t="str">
        <f>IF(COUNTIF(proc_exc!A:A,data[[#This Row],[ucet]])&gt;1,"chyba v proc_exc!",IF(COUNTIF(proc_exc!A:A,data[[#This Row],[ucet]])=1,VLOOKUP(data[[#This Row],[ucet]],proc_exc!A:E,5,0),data[[#This Row],[proces default]]))</f>
        <v>-</v>
      </c>
    </row>
    <row r="140" spans="2:27" x14ac:dyDescent="0.3">
      <c r="B140" s="36"/>
      <c r="C140" s="32"/>
      <c r="J140" s="15" t="str">
        <f t="shared" si="18"/>
        <v xml:space="preserve"> </v>
      </c>
      <c r="K140" s="3" t="str">
        <f>IF(I140=0,"-",VALUE(LEFT(D140,LEN(D140)-(INDEX!$E$13-3))))</f>
        <v>-</v>
      </c>
      <c r="L140" s="5" t="str">
        <f>IF(I140=0,"-",VLOOKUP(K140,ucty_synt!A:B,2,0))</f>
        <v>-</v>
      </c>
      <c r="M140" s="15" t="str">
        <f>IF(S140="-","-",VLOOKUP(K140,ucty_synt!A:S,3,0))</f>
        <v>-</v>
      </c>
      <c r="N140" s="15" t="str">
        <f>IF(I140=0,"-",IF(M140="Rozvaha",VLOOKUP(S140,'radky_R'!A:O,6,0),IF(M140="Výsledovka",VLOOKUP(S140,'radky_V'!A:M,6,0),"-")))</f>
        <v>-</v>
      </c>
      <c r="O140" s="3" t="str">
        <f>IF(I140=0,"-",IF(COUNTIF(ucty_synt!A:A,K140)=0,"účet n/a",IF(VLOOKUP(K140,ucty_synt!A:S,4,0)=RIGHT($P$1,5),"podle AÚ",IF(VLOOKUP(K140,ucty_synt!A:S,4,0)=RIGHT($Q$1,5),"podle SÚ",IF(SUMIF(ucty_synt!A:A,K140,ucty_synt!E:E)&lt;&gt;0,VLOOKUP(K140,ucty_synt!A:T,5,0),"doplnit")))))</f>
        <v>-</v>
      </c>
      <c r="P140" s="3" t="str">
        <f>IF(I140=0,"-",IF(VLOOKUP(K140,ucty_synt!A:S,4,0)=RIGHT($P$1,5),IF(SUMIFS(I:I,C:C,C140,D:D,D140)&gt;=0,VLOOKUP(K140,ucty_synt!A:E,5,0),VLOOKUP(K140,ucty_synt!A:L,12,0)),"-"))</f>
        <v>-</v>
      </c>
      <c r="Q140" s="3" t="str">
        <f>IF(I140=0,"-",IF(VLOOKUP(K140,ucty_synt!A:S,4,0)=RIGHT($Q$1,5),IF(SUMIFS(I:I,C:C,C140,K:K,K140)&gt;=0,VLOOKUP(K140,ucty_synt!A:E,5,0),VLOOKUP(K140,ucty_synt!A:L,12,0)),"-"))</f>
        <v>-</v>
      </c>
      <c r="R140" s="459"/>
      <c r="S140" s="8" t="str">
        <f t="shared" si="19"/>
        <v>-</v>
      </c>
      <c r="T140" s="15" t="str">
        <f>IF(S140="-","-",IF(M140="Rozvaha",VLOOKUP(S140,'radky_R'!A:O,14,0),IF(M140="Výsledovka",VLOOKUP(S140,'radky_V'!A:M,12,0),"-")))</f>
        <v>-</v>
      </c>
      <c r="U140" s="20" t="str">
        <f>IF(I140=0,"-",IF(M140="Rozvaha",VLOOKUP(S140,'radky_R'!A:O,8,0),IF(M140="Výsledovka",VLOOKUP(S140,'radky_V'!A:M,8,0),"-")))</f>
        <v>-</v>
      </c>
      <c r="V140" s="20" t="str">
        <f>IF(I140=0,"-",IF(M140="Rozvaha",VLOOKUP(S140,'radky_R'!A:O,9,0),IF(M140="Výsledovka",VLOOKUP(S140,'radky_V'!A:M,9,0),"-")))</f>
        <v>-</v>
      </c>
      <c r="W140" s="104" t="str">
        <f>IF(I140=0,"-",IF(M140="Rozvaha",VLOOKUP(S140,'radky_R'!A:O,15,0),IF(M140="Výsledovka",VLOOKUP(S140,'radky_V'!A:M,11,0),"-")))</f>
        <v>-</v>
      </c>
      <c r="X140" s="5" t="str">
        <f>IF(I140=0,"-",VLOOKUP(K140,ucty_synt!A:S,19,0))</f>
        <v>-</v>
      </c>
      <c r="Y140" s="6">
        <f t="shared" si="20"/>
        <v>0</v>
      </c>
      <c r="Z140" s="650" t="str">
        <f>IF(data[[#This Row],[uc_synt]]="-","-",VLOOKUP(data[[#This Row],[uc_synt]],ucty_synt!A:T,20,0))</f>
        <v>-</v>
      </c>
      <c r="AA140" s="650" t="str">
        <f>IF(COUNTIF(proc_exc!A:A,data[[#This Row],[ucet]])&gt;1,"chyba v proc_exc!",IF(COUNTIF(proc_exc!A:A,data[[#This Row],[ucet]])=1,VLOOKUP(data[[#This Row],[ucet]],proc_exc!A:E,5,0),data[[#This Row],[proces default]]))</f>
        <v>-</v>
      </c>
    </row>
    <row r="141" spans="2:27" x14ac:dyDescent="0.3">
      <c r="B141" s="36"/>
      <c r="C141" s="32"/>
      <c r="J141" s="15" t="str">
        <f t="shared" si="18"/>
        <v xml:space="preserve"> </v>
      </c>
      <c r="K141" s="3" t="str">
        <f>IF(I141=0,"-",VALUE(LEFT(D141,LEN(D141)-(INDEX!$E$13-3))))</f>
        <v>-</v>
      </c>
      <c r="L141" s="5" t="str">
        <f>IF(I141=0,"-",VLOOKUP(K141,ucty_synt!A:B,2,0))</f>
        <v>-</v>
      </c>
      <c r="M141" s="15" t="str">
        <f>IF(S141="-","-",VLOOKUP(K141,ucty_synt!A:S,3,0))</f>
        <v>-</v>
      </c>
      <c r="N141" s="15" t="str">
        <f>IF(I141=0,"-",IF(M141="Rozvaha",VLOOKUP(S141,'radky_R'!A:O,6,0),IF(M141="Výsledovka",VLOOKUP(S141,'radky_V'!A:M,6,0),"-")))</f>
        <v>-</v>
      </c>
      <c r="O141" s="3" t="str">
        <f>IF(I141=0,"-",IF(COUNTIF(ucty_synt!A:A,K141)=0,"účet n/a",IF(VLOOKUP(K141,ucty_synt!A:S,4,0)=RIGHT($P$1,5),"podle AÚ",IF(VLOOKUP(K141,ucty_synt!A:S,4,0)=RIGHT($Q$1,5),"podle SÚ",IF(SUMIF(ucty_synt!A:A,K141,ucty_synt!E:E)&lt;&gt;0,VLOOKUP(K141,ucty_synt!A:T,5,0),"doplnit")))))</f>
        <v>-</v>
      </c>
      <c r="P141" s="3" t="str">
        <f>IF(I141=0,"-",IF(VLOOKUP(K141,ucty_synt!A:S,4,0)=RIGHT($P$1,5),IF(SUMIFS(I:I,C:C,C141,D:D,D141)&gt;=0,VLOOKUP(K141,ucty_synt!A:E,5,0),VLOOKUP(K141,ucty_synt!A:L,12,0)),"-"))</f>
        <v>-</v>
      </c>
      <c r="Q141" s="3" t="str">
        <f>IF(I141=0,"-",IF(VLOOKUP(K141,ucty_synt!A:S,4,0)=RIGHT($Q$1,5),IF(SUMIFS(I:I,C:C,C141,K:K,K141)&gt;=0,VLOOKUP(K141,ucty_synt!A:E,5,0),VLOOKUP(K141,ucty_synt!A:L,12,0)),"-"))</f>
        <v>-</v>
      </c>
      <c r="R141" s="459"/>
      <c r="S141" s="8" t="str">
        <f t="shared" si="19"/>
        <v>-</v>
      </c>
      <c r="T141" s="15" t="str">
        <f>IF(S141="-","-",IF(M141="Rozvaha",VLOOKUP(S141,'radky_R'!A:O,14,0),IF(M141="Výsledovka",VLOOKUP(S141,'radky_V'!A:M,12,0),"-")))</f>
        <v>-</v>
      </c>
      <c r="U141" s="20" t="str">
        <f>IF(I141=0,"-",IF(M141="Rozvaha",VLOOKUP(S141,'radky_R'!A:O,8,0),IF(M141="Výsledovka",VLOOKUP(S141,'radky_V'!A:M,8,0),"-")))</f>
        <v>-</v>
      </c>
      <c r="V141" s="20" t="str">
        <f>IF(I141=0,"-",IF(M141="Rozvaha",VLOOKUP(S141,'radky_R'!A:O,9,0),IF(M141="Výsledovka",VLOOKUP(S141,'radky_V'!A:M,9,0),"-")))</f>
        <v>-</v>
      </c>
      <c r="W141" s="104" t="str">
        <f>IF(I141=0,"-",IF(M141="Rozvaha",VLOOKUP(S141,'radky_R'!A:O,15,0),IF(M141="Výsledovka",VLOOKUP(S141,'radky_V'!A:M,11,0),"-")))</f>
        <v>-</v>
      </c>
      <c r="X141" s="5" t="str">
        <f>IF(I141=0,"-",VLOOKUP(K141,ucty_synt!A:S,19,0))</f>
        <v>-</v>
      </c>
      <c r="Y141" s="6">
        <f t="shared" si="20"/>
        <v>0</v>
      </c>
      <c r="Z141" s="650" t="str">
        <f>IF(data[[#This Row],[uc_synt]]="-","-",VLOOKUP(data[[#This Row],[uc_synt]],ucty_synt!A:T,20,0))</f>
        <v>-</v>
      </c>
      <c r="AA141" s="650" t="str">
        <f>IF(COUNTIF(proc_exc!A:A,data[[#This Row],[ucet]])&gt;1,"chyba v proc_exc!",IF(COUNTIF(proc_exc!A:A,data[[#This Row],[ucet]])=1,VLOOKUP(data[[#This Row],[ucet]],proc_exc!A:E,5,0),data[[#This Row],[proces default]]))</f>
        <v>-</v>
      </c>
    </row>
    <row r="142" spans="2:27" x14ac:dyDescent="0.3">
      <c r="B142" s="36"/>
      <c r="C142" s="32"/>
      <c r="J142" s="15" t="str">
        <f t="shared" si="18"/>
        <v xml:space="preserve"> </v>
      </c>
      <c r="K142" s="3" t="str">
        <f>IF(I142=0,"-",VALUE(LEFT(D142,LEN(D142)-(INDEX!$E$13-3))))</f>
        <v>-</v>
      </c>
      <c r="L142" s="5" t="str">
        <f>IF(I142=0,"-",VLOOKUP(K142,ucty_synt!A:B,2,0))</f>
        <v>-</v>
      </c>
      <c r="M142" s="15" t="str">
        <f>IF(S142="-","-",VLOOKUP(K142,ucty_synt!A:S,3,0))</f>
        <v>-</v>
      </c>
      <c r="N142" s="15" t="str">
        <f>IF(I142=0,"-",IF(M142="Rozvaha",VLOOKUP(S142,'radky_R'!A:O,6,0),IF(M142="Výsledovka",VLOOKUP(S142,'radky_V'!A:M,6,0),"-")))</f>
        <v>-</v>
      </c>
      <c r="O142" s="3" t="str">
        <f>IF(I142=0,"-",IF(COUNTIF(ucty_synt!A:A,K142)=0,"účet n/a",IF(VLOOKUP(K142,ucty_synt!A:S,4,0)=RIGHT($P$1,5),"podle AÚ",IF(VLOOKUP(K142,ucty_synt!A:S,4,0)=RIGHT($Q$1,5),"podle SÚ",IF(SUMIF(ucty_synt!A:A,K142,ucty_synt!E:E)&lt;&gt;0,VLOOKUP(K142,ucty_synt!A:T,5,0),"doplnit")))))</f>
        <v>-</v>
      </c>
      <c r="P142" s="3" t="str">
        <f>IF(I142=0,"-",IF(VLOOKUP(K142,ucty_synt!A:S,4,0)=RIGHT($P$1,5),IF(SUMIFS(I:I,C:C,C142,D:D,D142)&gt;=0,VLOOKUP(K142,ucty_synt!A:E,5,0),VLOOKUP(K142,ucty_synt!A:L,12,0)),"-"))</f>
        <v>-</v>
      </c>
      <c r="Q142" s="3" t="str">
        <f>IF(I142=0,"-",IF(VLOOKUP(K142,ucty_synt!A:S,4,0)=RIGHT($Q$1,5),IF(SUMIFS(I:I,C:C,C142,K:K,K142)&gt;=0,VLOOKUP(K142,ucty_synt!A:E,5,0),VLOOKUP(K142,ucty_synt!A:L,12,0)),"-"))</f>
        <v>-</v>
      </c>
      <c r="R142" s="459"/>
      <c r="S142" s="8" t="str">
        <f t="shared" si="19"/>
        <v>-</v>
      </c>
      <c r="T142" s="15" t="str">
        <f>IF(S142="-","-",IF(M142="Rozvaha",VLOOKUP(S142,'radky_R'!A:O,14,0),IF(M142="Výsledovka",VLOOKUP(S142,'radky_V'!A:M,12,0),"-")))</f>
        <v>-</v>
      </c>
      <c r="U142" s="20" t="str">
        <f>IF(I142=0,"-",IF(M142="Rozvaha",VLOOKUP(S142,'radky_R'!A:O,8,0),IF(M142="Výsledovka",VLOOKUP(S142,'radky_V'!A:M,8,0),"-")))</f>
        <v>-</v>
      </c>
      <c r="V142" s="20" t="str">
        <f>IF(I142=0,"-",IF(M142="Rozvaha",VLOOKUP(S142,'radky_R'!A:O,9,0),IF(M142="Výsledovka",VLOOKUP(S142,'radky_V'!A:M,9,0),"-")))</f>
        <v>-</v>
      </c>
      <c r="W142" s="104" t="str">
        <f>IF(I142=0,"-",IF(M142="Rozvaha",VLOOKUP(S142,'radky_R'!A:O,15,0),IF(M142="Výsledovka",VLOOKUP(S142,'radky_V'!A:M,11,0),"-")))</f>
        <v>-</v>
      </c>
      <c r="X142" s="5" t="str">
        <f>IF(I142=0,"-",VLOOKUP(K142,ucty_synt!A:S,19,0))</f>
        <v>-</v>
      </c>
      <c r="Y142" s="6">
        <f t="shared" si="20"/>
        <v>0</v>
      </c>
      <c r="Z142" s="650" t="str">
        <f>IF(data[[#This Row],[uc_synt]]="-","-",VLOOKUP(data[[#This Row],[uc_synt]],ucty_synt!A:T,20,0))</f>
        <v>-</v>
      </c>
      <c r="AA142" s="650" t="str">
        <f>IF(COUNTIF(proc_exc!A:A,data[[#This Row],[ucet]])&gt;1,"chyba v proc_exc!",IF(COUNTIF(proc_exc!A:A,data[[#This Row],[ucet]])=1,VLOOKUP(data[[#This Row],[ucet]],proc_exc!A:E,5,0),data[[#This Row],[proces default]]))</f>
        <v>-</v>
      </c>
    </row>
    <row r="143" spans="2:27" x14ac:dyDescent="0.3">
      <c r="B143" s="36"/>
      <c r="C143" s="32"/>
      <c r="J143" s="15" t="str">
        <f t="shared" si="18"/>
        <v xml:space="preserve"> </v>
      </c>
      <c r="K143" s="3" t="str">
        <f>IF(I143=0,"-",VALUE(LEFT(D143,LEN(D143)-(INDEX!$E$13-3))))</f>
        <v>-</v>
      </c>
      <c r="L143" s="5" t="str">
        <f>IF(I143=0,"-",VLOOKUP(K143,ucty_synt!A:B,2,0))</f>
        <v>-</v>
      </c>
      <c r="M143" s="15" t="str">
        <f>IF(S143="-","-",VLOOKUP(K143,ucty_synt!A:S,3,0))</f>
        <v>-</v>
      </c>
      <c r="N143" s="15" t="str">
        <f>IF(I143=0,"-",IF(M143="Rozvaha",VLOOKUP(S143,'radky_R'!A:O,6,0),IF(M143="Výsledovka",VLOOKUP(S143,'radky_V'!A:M,6,0),"-")))</f>
        <v>-</v>
      </c>
      <c r="O143" s="3" t="str">
        <f>IF(I143=0,"-",IF(COUNTIF(ucty_synt!A:A,K143)=0,"účet n/a",IF(VLOOKUP(K143,ucty_synt!A:S,4,0)=RIGHT($P$1,5),"podle AÚ",IF(VLOOKUP(K143,ucty_synt!A:S,4,0)=RIGHT($Q$1,5),"podle SÚ",IF(SUMIF(ucty_synt!A:A,K143,ucty_synt!E:E)&lt;&gt;0,VLOOKUP(K143,ucty_synt!A:T,5,0),"doplnit")))))</f>
        <v>-</v>
      </c>
      <c r="P143" s="3" t="str">
        <f>IF(I143=0,"-",IF(VLOOKUP(K143,ucty_synt!A:S,4,0)=RIGHT($P$1,5),IF(SUMIFS(I:I,C:C,C143,D:D,D143)&gt;=0,VLOOKUP(K143,ucty_synt!A:E,5,0),VLOOKUP(K143,ucty_synt!A:L,12,0)),"-"))</f>
        <v>-</v>
      </c>
      <c r="Q143" s="3" t="str">
        <f>IF(I143=0,"-",IF(VLOOKUP(K143,ucty_synt!A:S,4,0)=RIGHT($Q$1,5),IF(SUMIFS(I:I,C:C,C143,K:K,K143)&gt;=0,VLOOKUP(K143,ucty_synt!A:E,5,0),VLOOKUP(K143,ucty_synt!A:L,12,0)),"-"))</f>
        <v>-</v>
      </c>
      <c r="R143" s="459"/>
      <c r="S143" s="8" t="str">
        <f t="shared" si="19"/>
        <v>-</v>
      </c>
      <c r="T143" s="15" t="str">
        <f>IF(S143="-","-",IF(M143="Rozvaha",VLOOKUP(S143,'radky_R'!A:O,14,0),IF(M143="Výsledovka",VLOOKUP(S143,'radky_V'!A:M,12,0),"-")))</f>
        <v>-</v>
      </c>
      <c r="U143" s="20" t="str">
        <f>IF(I143=0,"-",IF(M143="Rozvaha",VLOOKUP(S143,'radky_R'!A:O,8,0),IF(M143="Výsledovka",VLOOKUP(S143,'radky_V'!A:M,8,0),"-")))</f>
        <v>-</v>
      </c>
      <c r="V143" s="20" t="str">
        <f>IF(I143=0,"-",IF(M143="Rozvaha",VLOOKUP(S143,'radky_R'!A:O,9,0),IF(M143="Výsledovka",VLOOKUP(S143,'radky_V'!A:M,9,0),"-")))</f>
        <v>-</v>
      </c>
      <c r="W143" s="104" t="str">
        <f>IF(I143=0,"-",IF(M143="Rozvaha",VLOOKUP(S143,'radky_R'!A:O,15,0),IF(M143="Výsledovka",VLOOKUP(S143,'radky_V'!A:M,11,0),"-")))</f>
        <v>-</v>
      </c>
      <c r="X143" s="5" t="str">
        <f>IF(I143=0,"-",VLOOKUP(K143,ucty_synt!A:S,19,0))</f>
        <v>-</v>
      </c>
      <c r="Y143" s="6">
        <f t="shared" si="20"/>
        <v>0</v>
      </c>
      <c r="Z143" s="650" t="str">
        <f>IF(data[[#This Row],[uc_synt]]="-","-",VLOOKUP(data[[#This Row],[uc_synt]],ucty_synt!A:T,20,0))</f>
        <v>-</v>
      </c>
      <c r="AA143" s="650" t="str">
        <f>IF(COUNTIF(proc_exc!A:A,data[[#This Row],[ucet]])&gt;1,"chyba v proc_exc!",IF(COUNTIF(proc_exc!A:A,data[[#This Row],[ucet]])=1,VLOOKUP(data[[#This Row],[ucet]],proc_exc!A:E,5,0),data[[#This Row],[proces default]]))</f>
        <v>-</v>
      </c>
    </row>
    <row r="144" spans="2:27" x14ac:dyDescent="0.3">
      <c r="B144" s="36"/>
      <c r="C144" s="32"/>
      <c r="J144" s="15" t="str">
        <f t="shared" si="18"/>
        <v xml:space="preserve"> </v>
      </c>
      <c r="K144" s="3" t="str">
        <f>IF(I144=0,"-",VALUE(LEFT(D144,LEN(D144)-(INDEX!$E$13-3))))</f>
        <v>-</v>
      </c>
      <c r="L144" s="5" t="str">
        <f>IF(I144=0,"-",VLOOKUP(K144,ucty_synt!A:B,2,0))</f>
        <v>-</v>
      </c>
      <c r="M144" s="15" t="str">
        <f>IF(S144="-","-",VLOOKUP(K144,ucty_synt!A:S,3,0))</f>
        <v>-</v>
      </c>
      <c r="N144" s="15" t="str">
        <f>IF(I144=0,"-",IF(M144="Rozvaha",VLOOKUP(S144,'radky_R'!A:O,6,0),IF(M144="Výsledovka",VLOOKUP(S144,'radky_V'!A:M,6,0),"-")))</f>
        <v>-</v>
      </c>
      <c r="O144" s="3" t="str">
        <f>IF(I144=0,"-",IF(COUNTIF(ucty_synt!A:A,K144)=0,"účet n/a",IF(VLOOKUP(K144,ucty_synt!A:S,4,0)=RIGHT($P$1,5),"podle AÚ",IF(VLOOKUP(K144,ucty_synt!A:S,4,0)=RIGHT($Q$1,5),"podle SÚ",IF(SUMIF(ucty_synt!A:A,K144,ucty_synt!E:E)&lt;&gt;0,VLOOKUP(K144,ucty_synt!A:T,5,0),"doplnit")))))</f>
        <v>-</v>
      </c>
      <c r="P144" s="3" t="str">
        <f>IF(I144=0,"-",IF(VLOOKUP(K144,ucty_synt!A:S,4,0)=RIGHT($P$1,5),IF(SUMIFS(I:I,C:C,C144,D:D,D144)&gt;=0,VLOOKUP(K144,ucty_synt!A:E,5,0),VLOOKUP(K144,ucty_synt!A:L,12,0)),"-"))</f>
        <v>-</v>
      </c>
      <c r="Q144" s="3" t="str">
        <f>IF(I144=0,"-",IF(VLOOKUP(K144,ucty_synt!A:S,4,0)=RIGHT($Q$1,5),IF(SUMIFS(I:I,C:C,C144,K:K,K144)&gt;=0,VLOOKUP(K144,ucty_synt!A:E,5,0),VLOOKUP(K144,ucty_synt!A:L,12,0)),"-"))</f>
        <v>-</v>
      </c>
      <c r="R144" s="459"/>
      <c r="S144" s="8" t="str">
        <f t="shared" si="19"/>
        <v>-</v>
      </c>
      <c r="T144" s="15" t="str">
        <f>IF(S144="-","-",IF(M144="Rozvaha",VLOOKUP(S144,'radky_R'!A:O,14,0),IF(M144="Výsledovka",VLOOKUP(S144,'radky_V'!A:M,12,0),"-")))</f>
        <v>-</v>
      </c>
      <c r="U144" s="20" t="str">
        <f>IF(I144=0,"-",IF(M144="Rozvaha",VLOOKUP(S144,'radky_R'!A:O,8,0),IF(M144="Výsledovka",VLOOKUP(S144,'radky_V'!A:M,8,0),"-")))</f>
        <v>-</v>
      </c>
      <c r="V144" s="20" t="str">
        <f>IF(I144=0,"-",IF(M144="Rozvaha",VLOOKUP(S144,'radky_R'!A:O,9,0),IF(M144="Výsledovka",VLOOKUP(S144,'radky_V'!A:M,9,0),"-")))</f>
        <v>-</v>
      </c>
      <c r="W144" s="104" t="str">
        <f>IF(I144=0,"-",IF(M144="Rozvaha",VLOOKUP(S144,'radky_R'!A:O,15,0),IF(M144="Výsledovka",VLOOKUP(S144,'radky_V'!A:M,11,0),"-")))</f>
        <v>-</v>
      </c>
      <c r="X144" s="5" t="str">
        <f>IF(I144=0,"-",VLOOKUP(K144,ucty_synt!A:S,19,0))</f>
        <v>-</v>
      </c>
      <c r="Y144" s="6">
        <f t="shared" si="20"/>
        <v>0</v>
      </c>
      <c r="Z144" s="650" t="str">
        <f>IF(data[[#This Row],[uc_synt]]="-","-",VLOOKUP(data[[#This Row],[uc_synt]],ucty_synt!A:T,20,0))</f>
        <v>-</v>
      </c>
      <c r="AA144" s="650" t="str">
        <f>IF(COUNTIF(proc_exc!A:A,data[[#This Row],[ucet]])&gt;1,"chyba v proc_exc!",IF(COUNTIF(proc_exc!A:A,data[[#This Row],[ucet]])=1,VLOOKUP(data[[#This Row],[ucet]],proc_exc!A:E,5,0),data[[#This Row],[proces default]]))</f>
        <v>-</v>
      </c>
    </row>
    <row r="145" spans="2:27" x14ac:dyDescent="0.3">
      <c r="B145" s="36"/>
      <c r="C145" s="32"/>
      <c r="J145" s="15" t="str">
        <f t="shared" si="18"/>
        <v xml:space="preserve"> </v>
      </c>
      <c r="K145" s="3" t="str">
        <f>IF(I145=0,"-",VALUE(LEFT(D145,LEN(D145)-(INDEX!$E$13-3))))</f>
        <v>-</v>
      </c>
      <c r="L145" s="5" t="str">
        <f>IF(I145=0,"-",VLOOKUP(K145,ucty_synt!A:B,2,0))</f>
        <v>-</v>
      </c>
      <c r="M145" s="15" t="str">
        <f>IF(S145="-","-",VLOOKUP(K145,ucty_synt!A:S,3,0))</f>
        <v>-</v>
      </c>
      <c r="N145" s="15" t="str">
        <f>IF(I145=0,"-",IF(M145="Rozvaha",VLOOKUP(S145,'radky_R'!A:O,6,0),IF(M145="Výsledovka",VLOOKUP(S145,'radky_V'!A:M,6,0),"-")))</f>
        <v>-</v>
      </c>
      <c r="O145" s="3" t="str">
        <f>IF(I145=0,"-",IF(COUNTIF(ucty_synt!A:A,K145)=0,"účet n/a",IF(VLOOKUP(K145,ucty_synt!A:S,4,0)=RIGHT($P$1,5),"podle AÚ",IF(VLOOKUP(K145,ucty_synt!A:S,4,0)=RIGHT($Q$1,5),"podle SÚ",IF(SUMIF(ucty_synt!A:A,K145,ucty_synt!E:E)&lt;&gt;0,VLOOKUP(K145,ucty_synt!A:T,5,0),"doplnit")))))</f>
        <v>-</v>
      </c>
      <c r="P145" s="3" t="str">
        <f>IF(I145=0,"-",IF(VLOOKUP(K145,ucty_synt!A:S,4,0)=RIGHT($P$1,5),IF(SUMIFS(I:I,C:C,C145,D:D,D145)&gt;=0,VLOOKUP(K145,ucty_synt!A:E,5,0),VLOOKUP(K145,ucty_synt!A:L,12,0)),"-"))</f>
        <v>-</v>
      </c>
      <c r="Q145" s="3" t="str">
        <f>IF(I145=0,"-",IF(VLOOKUP(K145,ucty_synt!A:S,4,0)=RIGHT($Q$1,5),IF(SUMIFS(I:I,C:C,C145,K:K,K145)&gt;=0,VLOOKUP(K145,ucty_synt!A:E,5,0),VLOOKUP(K145,ucty_synt!A:L,12,0)),"-"))</f>
        <v>-</v>
      </c>
      <c r="R145" s="459"/>
      <c r="S145" s="8" t="str">
        <f t="shared" si="19"/>
        <v>-</v>
      </c>
      <c r="T145" s="15" t="str">
        <f>IF(S145="-","-",IF(M145="Rozvaha",VLOOKUP(S145,'radky_R'!A:O,14,0),IF(M145="Výsledovka",VLOOKUP(S145,'radky_V'!A:M,12,0),"-")))</f>
        <v>-</v>
      </c>
      <c r="U145" s="20" t="str">
        <f>IF(I145=0,"-",IF(M145="Rozvaha",VLOOKUP(S145,'radky_R'!A:O,8,0),IF(M145="Výsledovka",VLOOKUP(S145,'radky_V'!A:M,8,0),"-")))</f>
        <v>-</v>
      </c>
      <c r="V145" s="20" t="str">
        <f>IF(I145=0,"-",IF(M145="Rozvaha",VLOOKUP(S145,'radky_R'!A:O,9,0),IF(M145="Výsledovka",VLOOKUP(S145,'radky_V'!A:M,9,0),"-")))</f>
        <v>-</v>
      </c>
      <c r="W145" s="104" t="str">
        <f>IF(I145=0,"-",IF(M145="Rozvaha",VLOOKUP(S145,'radky_R'!A:O,15,0),IF(M145="Výsledovka",VLOOKUP(S145,'radky_V'!A:M,11,0),"-")))</f>
        <v>-</v>
      </c>
      <c r="X145" s="5" t="str">
        <f>IF(I145=0,"-",VLOOKUP(K145,ucty_synt!A:S,19,0))</f>
        <v>-</v>
      </c>
      <c r="Y145" s="6">
        <f t="shared" si="20"/>
        <v>0</v>
      </c>
      <c r="Z145" s="650" t="str">
        <f>IF(data[[#This Row],[uc_synt]]="-","-",VLOOKUP(data[[#This Row],[uc_synt]],ucty_synt!A:T,20,0))</f>
        <v>-</v>
      </c>
      <c r="AA145" s="650" t="str">
        <f>IF(COUNTIF(proc_exc!A:A,data[[#This Row],[ucet]])&gt;1,"chyba v proc_exc!",IF(COUNTIF(proc_exc!A:A,data[[#This Row],[ucet]])=1,VLOOKUP(data[[#This Row],[ucet]],proc_exc!A:E,5,0),data[[#This Row],[proces default]]))</f>
        <v>-</v>
      </c>
    </row>
    <row r="146" spans="2:27" x14ac:dyDescent="0.3">
      <c r="B146" s="36"/>
      <c r="C146" s="32"/>
      <c r="J146" s="15" t="str">
        <f t="shared" si="18"/>
        <v xml:space="preserve"> </v>
      </c>
      <c r="K146" s="3" t="str">
        <f>IF(I146=0,"-",VALUE(LEFT(D146,LEN(D146)-(INDEX!$E$13-3))))</f>
        <v>-</v>
      </c>
      <c r="L146" s="5" t="str">
        <f>IF(I146=0,"-",VLOOKUP(K146,ucty_synt!A:B,2,0))</f>
        <v>-</v>
      </c>
      <c r="M146" s="15" t="str">
        <f>IF(S146="-","-",VLOOKUP(K146,ucty_synt!A:S,3,0))</f>
        <v>-</v>
      </c>
      <c r="N146" s="15" t="str">
        <f>IF(I146=0,"-",IF(M146="Rozvaha",VLOOKUP(S146,'radky_R'!A:O,6,0),IF(M146="Výsledovka",VLOOKUP(S146,'radky_V'!A:M,6,0),"-")))</f>
        <v>-</v>
      </c>
      <c r="O146" s="3" t="str">
        <f>IF(I146=0,"-",IF(COUNTIF(ucty_synt!A:A,K146)=0,"účet n/a",IF(VLOOKUP(K146,ucty_synt!A:S,4,0)=RIGHT($P$1,5),"podle AÚ",IF(VLOOKUP(K146,ucty_synt!A:S,4,0)=RIGHT($Q$1,5),"podle SÚ",IF(SUMIF(ucty_synt!A:A,K146,ucty_synt!E:E)&lt;&gt;0,VLOOKUP(K146,ucty_synt!A:T,5,0),"doplnit")))))</f>
        <v>-</v>
      </c>
      <c r="P146" s="3" t="str">
        <f>IF(I146=0,"-",IF(VLOOKUP(K146,ucty_synt!A:S,4,0)=RIGHT($P$1,5),IF(SUMIFS(I:I,C:C,C146,D:D,D146)&gt;=0,VLOOKUP(K146,ucty_synt!A:E,5,0),VLOOKUP(K146,ucty_synt!A:L,12,0)),"-"))</f>
        <v>-</v>
      </c>
      <c r="Q146" s="3" t="str">
        <f>IF(I146=0,"-",IF(VLOOKUP(K146,ucty_synt!A:S,4,0)=RIGHT($Q$1,5),IF(SUMIFS(I:I,C:C,C146,K:K,K146)&gt;=0,VLOOKUP(K146,ucty_synt!A:E,5,0),VLOOKUP(K146,ucty_synt!A:L,12,0)),"-"))</f>
        <v>-</v>
      </c>
      <c r="R146" s="459"/>
      <c r="S146" s="8" t="str">
        <f t="shared" si="19"/>
        <v>-</v>
      </c>
      <c r="T146" s="15" t="str">
        <f>IF(S146="-","-",IF(M146="Rozvaha",VLOOKUP(S146,'radky_R'!A:O,14,0),IF(M146="Výsledovka",VLOOKUP(S146,'radky_V'!A:M,12,0),"-")))</f>
        <v>-</v>
      </c>
      <c r="U146" s="20" t="str">
        <f>IF(I146=0,"-",IF(M146="Rozvaha",VLOOKUP(S146,'radky_R'!A:O,8,0),IF(M146="Výsledovka",VLOOKUP(S146,'radky_V'!A:M,8,0),"-")))</f>
        <v>-</v>
      </c>
      <c r="V146" s="20" t="str">
        <f>IF(I146=0,"-",IF(M146="Rozvaha",VLOOKUP(S146,'radky_R'!A:O,9,0),IF(M146="Výsledovka",VLOOKUP(S146,'radky_V'!A:M,9,0),"-")))</f>
        <v>-</v>
      </c>
      <c r="W146" s="104" t="str">
        <f>IF(I146=0,"-",IF(M146="Rozvaha",VLOOKUP(S146,'radky_R'!A:O,15,0),IF(M146="Výsledovka",VLOOKUP(S146,'radky_V'!A:M,11,0),"-")))</f>
        <v>-</v>
      </c>
      <c r="X146" s="5" t="str">
        <f>IF(I146=0,"-",VLOOKUP(K146,ucty_synt!A:S,19,0))</f>
        <v>-</v>
      </c>
      <c r="Y146" s="6">
        <f t="shared" si="20"/>
        <v>0</v>
      </c>
      <c r="Z146" s="650" t="str">
        <f>IF(data[[#This Row],[uc_synt]]="-","-",VLOOKUP(data[[#This Row],[uc_synt]],ucty_synt!A:T,20,0))</f>
        <v>-</v>
      </c>
      <c r="AA146" s="650" t="str">
        <f>IF(COUNTIF(proc_exc!A:A,data[[#This Row],[ucet]])&gt;1,"chyba v proc_exc!",IF(COUNTIF(proc_exc!A:A,data[[#This Row],[ucet]])=1,VLOOKUP(data[[#This Row],[ucet]],proc_exc!A:E,5,0),data[[#This Row],[proces default]]))</f>
        <v>-</v>
      </c>
    </row>
    <row r="147" spans="2:27" x14ac:dyDescent="0.3">
      <c r="B147" s="36"/>
      <c r="C147" s="32"/>
      <c r="J147" s="15" t="str">
        <f t="shared" si="18"/>
        <v xml:space="preserve"> </v>
      </c>
      <c r="K147" s="3" t="str">
        <f>IF(I147=0,"-",VALUE(LEFT(D147,LEN(D147)-(INDEX!$E$13-3))))</f>
        <v>-</v>
      </c>
      <c r="L147" s="5" t="str">
        <f>IF(I147=0,"-",VLOOKUP(K147,ucty_synt!A:B,2,0))</f>
        <v>-</v>
      </c>
      <c r="M147" s="15" t="str">
        <f>IF(S147="-","-",VLOOKUP(K147,ucty_synt!A:S,3,0))</f>
        <v>-</v>
      </c>
      <c r="N147" s="15" t="str">
        <f>IF(I147=0,"-",IF(M147="Rozvaha",VLOOKUP(S147,'radky_R'!A:O,6,0),IF(M147="Výsledovka",VLOOKUP(S147,'radky_V'!A:M,6,0),"-")))</f>
        <v>-</v>
      </c>
      <c r="O147" s="3" t="str">
        <f>IF(I147=0,"-",IF(COUNTIF(ucty_synt!A:A,K147)=0,"účet n/a",IF(VLOOKUP(K147,ucty_synt!A:S,4,0)=RIGHT($P$1,5),"podle AÚ",IF(VLOOKUP(K147,ucty_synt!A:S,4,0)=RIGHT($Q$1,5),"podle SÚ",IF(SUMIF(ucty_synt!A:A,K147,ucty_synt!E:E)&lt;&gt;0,VLOOKUP(K147,ucty_synt!A:T,5,0),"doplnit")))))</f>
        <v>-</v>
      </c>
      <c r="P147" s="3" t="str">
        <f>IF(I147=0,"-",IF(VLOOKUP(K147,ucty_synt!A:S,4,0)=RIGHT($P$1,5),IF(SUMIFS(I:I,C:C,C147,D:D,D147)&gt;=0,VLOOKUP(K147,ucty_synt!A:E,5,0),VLOOKUP(K147,ucty_synt!A:L,12,0)),"-"))</f>
        <v>-</v>
      </c>
      <c r="Q147" s="3" t="str">
        <f>IF(I147=0,"-",IF(VLOOKUP(K147,ucty_synt!A:S,4,0)=RIGHT($Q$1,5),IF(SUMIFS(I:I,C:C,C147,K:K,K147)&gt;=0,VLOOKUP(K147,ucty_synt!A:E,5,0),VLOOKUP(K147,ucty_synt!A:L,12,0)),"-"))</f>
        <v>-</v>
      </c>
      <c r="R147" s="459"/>
      <c r="S147" s="8" t="str">
        <f t="shared" si="19"/>
        <v>-</v>
      </c>
      <c r="T147" s="15" t="str">
        <f>IF(S147="-","-",IF(M147="Rozvaha",VLOOKUP(S147,'radky_R'!A:O,14,0),IF(M147="Výsledovka",VLOOKUP(S147,'radky_V'!A:M,12,0),"-")))</f>
        <v>-</v>
      </c>
      <c r="U147" s="20" t="str">
        <f>IF(I147=0,"-",IF(M147="Rozvaha",VLOOKUP(S147,'radky_R'!A:O,8,0),IF(M147="Výsledovka",VLOOKUP(S147,'radky_V'!A:M,8,0),"-")))</f>
        <v>-</v>
      </c>
      <c r="V147" s="20" t="str">
        <f>IF(I147=0,"-",IF(M147="Rozvaha",VLOOKUP(S147,'radky_R'!A:O,9,0),IF(M147="Výsledovka",VLOOKUP(S147,'radky_V'!A:M,9,0),"-")))</f>
        <v>-</v>
      </c>
      <c r="W147" s="104" t="str">
        <f>IF(I147=0,"-",IF(M147="Rozvaha",VLOOKUP(S147,'radky_R'!A:O,15,0),IF(M147="Výsledovka",VLOOKUP(S147,'radky_V'!A:M,11,0),"-")))</f>
        <v>-</v>
      </c>
      <c r="X147" s="5" t="str">
        <f>IF(I147=0,"-",VLOOKUP(K147,ucty_synt!A:S,19,0))</f>
        <v>-</v>
      </c>
      <c r="Y147" s="6">
        <f t="shared" si="20"/>
        <v>0</v>
      </c>
      <c r="Z147" s="650" t="str">
        <f>IF(data[[#This Row],[uc_synt]]="-","-",VLOOKUP(data[[#This Row],[uc_synt]],ucty_synt!A:T,20,0))</f>
        <v>-</v>
      </c>
      <c r="AA147" s="650" t="str">
        <f>IF(COUNTIF(proc_exc!A:A,data[[#This Row],[ucet]])&gt;1,"chyba v proc_exc!",IF(COUNTIF(proc_exc!A:A,data[[#This Row],[ucet]])=1,VLOOKUP(data[[#This Row],[ucet]],proc_exc!A:E,5,0),data[[#This Row],[proces default]]))</f>
        <v>-</v>
      </c>
    </row>
    <row r="148" spans="2:27" x14ac:dyDescent="0.3">
      <c r="B148" s="36"/>
      <c r="C148" s="32"/>
      <c r="J148" s="15" t="str">
        <f t="shared" si="18"/>
        <v xml:space="preserve"> </v>
      </c>
      <c r="K148" s="3" t="str">
        <f>IF(I148=0,"-",VALUE(LEFT(D148,LEN(D148)-(INDEX!$E$13-3))))</f>
        <v>-</v>
      </c>
      <c r="L148" s="5" t="str">
        <f>IF(I148=0,"-",VLOOKUP(K148,ucty_synt!A:B,2,0))</f>
        <v>-</v>
      </c>
      <c r="M148" s="15" t="str">
        <f>IF(S148="-","-",VLOOKUP(K148,ucty_synt!A:S,3,0))</f>
        <v>-</v>
      </c>
      <c r="N148" s="15" t="str">
        <f>IF(I148=0,"-",IF(M148="Rozvaha",VLOOKUP(S148,'radky_R'!A:O,6,0),IF(M148="Výsledovka",VLOOKUP(S148,'radky_V'!A:M,6,0),"-")))</f>
        <v>-</v>
      </c>
      <c r="O148" s="3" t="str">
        <f>IF(I148=0,"-",IF(COUNTIF(ucty_synt!A:A,K148)=0,"účet n/a",IF(VLOOKUP(K148,ucty_synt!A:S,4,0)=RIGHT($P$1,5),"podle AÚ",IF(VLOOKUP(K148,ucty_synt!A:S,4,0)=RIGHT($Q$1,5),"podle SÚ",IF(SUMIF(ucty_synt!A:A,K148,ucty_synt!E:E)&lt;&gt;0,VLOOKUP(K148,ucty_synt!A:T,5,0),"doplnit")))))</f>
        <v>-</v>
      </c>
      <c r="P148" s="3" t="str">
        <f>IF(I148=0,"-",IF(VLOOKUP(K148,ucty_synt!A:S,4,0)=RIGHT($P$1,5),IF(SUMIFS(I:I,C:C,C148,D:D,D148)&gt;=0,VLOOKUP(K148,ucty_synt!A:E,5,0),VLOOKUP(K148,ucty_synt!A:L,12,0)),"-"))</f>
        <v>-</v>
      </c>
      <c r="Q148" s="3" t="str">
        <f>IF(I148=0,"-",IF(VLOOKUP(K148,ucty_synt!A:S,4,0)=RIGHT($Q$1,5),IF(SUMIFS(I:I,C:C,C148,K:K,K148)&gt;=0,VLOOKUP(K148,ucty_synt!A:E,5,0),VLOOKUP(K148,ucty_synt!A:L,12,0)),"-"))</f>
        <v>-</v>
      </c>
      <c r="R148" s="459"/>
      <c r="S148" s="8" t="str">
        <f t="shared" si="19"/>
        <v>-</v>
      </c>
      <c r="T148" s="15" t="str">
        <f>IF(S148="-","-",IF(M148="Rozvaha",VLOOKUP(S148,'radky_R'!A:O,14,0),IF(M148="Výsledovka",VLOOKUP(S148,'radky_V'!A:M,12,0),"-")))</f>
        <v>-</v>
      </c>
      <c r="U148" s="20" t="str">
        <f>IF(I148=0,"-",IF(M148="Rozvaha",VLOOKUP(S148,'radky_R'!A:O,8,0),IF(M148="Výsledovka",VLOOKUP(S148,'radky_V'!A:M,8,0),"-")))</f>
        <v>-</v>
      </c>
      <c r="V148" s="20" t="str">
        <f>IF(I148=0,"-",IF(M148="Rozvaha",VLOOKUP(S148,'radky_R'!A:O,9,0),IF(M148="Výsledovka",VLOOKUP(S148,'radky_V'!A:M,9,0),"-")))</f>
        <v>-</v>
      </c>
      <c r="W148" s="104" t="str">
        <f>IF(I148=0,"-",IF(M148="Rozvaha",VLOOKUP(S148,'radky_R'!A:O,15,0),IF(M148="Výsledovka",VLOOKUP(S148,'radky_V'!A:M,11,0),"-")))</f>
        <v>-</v>
      </c>
      <c r="X148" s="5" t="str">
        <f>IF(I148=0,"-",VLOOKUP(K148,ucty_synt!A:S,19,0))</f>
        <v>-</v>
      </c>
      <c r="Y148" s="6">
        <f t="shared" si="20"/>
        <v>0</v>
      </c>
      <c r="Z148" s="650" t="str">
        <f>IF(data[[#This Row],[uc_synt]]="-","-",VLOOKUP(data[[#This Row],[uc_synt]],ucty_synt!A:T,20,0))</f>
        <v>-</v>
      </c>
      <c r="AA148" s="650" t="str">
        <f>IF(COUNTIF(proc_exc!A:A,data[[#This Row],[ucet]])&gt;1,"chyba v proc_exc!",IF(COUNTIF(proc_exc!A:A,data[[#This Row],[ucet]])=1,VLOOKUP(data[[#This Row],[ucet]],proc_exc!A:E,5,0),data[[#This Row],[proces default]]))</f>
        <v>-</v>
      </c>
    </row>
    <row r="149" spans="2:27" x14ac:dyDescent="0.3">
      <c r="B149" s="36"/>
      <c r="C149" s="32"/>
      <c r="J149" s="15" t="str">
        <f t="shared" si="18"/>
        <v xml:space="preserve"> </v>
      </c>
      <c r="K149" s="3" t="str">
        <f>IF(I149=0,"-",VALUE(LEFT(D149,LEN(D149)-(INDEX!$E$13-3))))</f>
        <v>-</v>
      </c>
      <c r="L149" s="5" t="str">
        <f>IF(I149=0,"-",VLOOKUP(K149,ucty_synt!A:B,2,0))</f>
        <v>-</v>
      </c>
      <c r="M149" s="15" t="str">
        <f>IF(S149="-","-",VLOOKUP(K149,ucty_synt!A:S,3,0))</f>
        <v>-</v>
      </c>
      <c r="N149" s="15" t="str">
        <f>IF(I149=0,"-",IF(M149="Rozvaha",VLOOKUP(S149,'radky_R'!A:O,6,0),IF(M149="Výsledovka",VLOOKUP(S149,'radky_V'!A:M,6,0),"-")))</f>
        <v>-</v>
      </c>
      <c r="O149" s="3" t="str">
        <f>IF(I149=0,"-",IF(COUNTIF(ucty_synt!A:A,K149)=0,"účet n/a",IF(VLOOKUP(K149,ucty_synt!A:S,4,0)=RIGHT($P$1,5),"podle AÚ",IF(VLOOKUP(K149,ucty_synt!A:S,4,0)=RIGHT($Q$1,5),"podle SÚ",IF(SUMIF(ucty_synt!A:A,K149,ucty_synt!E:E)&lt;&gt;0,VLOOKUP(K149,ucty_synt!A:T,5,0),"doplnit")))))</f>
        <v>-</v>
      </c>
      <c r="P149" s="3" t="str">
        <f>IF(I149=0,"-",IF(VLOOKUP(K149,ucty_synt!A:S,4,0)=RIGHT($P$1,5),IF(SUMIFS(I:I,C:C,C149,D:D,D149)&gt;=0,VLOOKUP(K149,ucty_synt!A:E,5,0),VLOOKUP(K149,ucty_synt!A:L,12,0)),"-"))</f>
        <v>-</v>
      </c>
      <c r="Q149" s="3" t="str">
        <f>IF(I149=0,"-",IF(VLOOKUP(K149,ucty_synt!A:S,4,0)=RIGHT($Q$1,5),IF(SUMIFS(I:I,C:C,C149,K:K,K149)&gt;=0,VLOOKUP(K149,ucty_synt!A:E,5,0),VLOOKUP(K149,ucty_synt!A:L,12,0)),"-"))</f>
        <v>-</v>
      </c>
      <c r="R149" s="459"/>
      <c r="S149" s="8" t="str">
        <f t="shared" si="19"/>
        <v>-</v>
      </c>
      <c r="T149" s="15" t="str">
        <f>IF(S149="-","-",IF(M149="Rozvaha",VLOOKUP(S149,'radky_R'!A:O,14,0),IF(M149="Výsledovka",VLOOKUP(S149,'radky_V'!A:M,12,0),"-")))</f>
        <v>-</v>
      </c>
      <c r="U149" s="20" t="str">
        <f>IF(I149=0,"-",IF(M149="Rozvaha",VLOOKUP(S149,'radky_R'!A:O,8,0),IF(M149="Výsledovka",VLOOKUP(S149,'radky_V'!A:M,8,0),"-")))</f>
        <v>-</v>
      </c>
      <c r="V149" s="20" t="str">
        <f>IF(I149=0,"-",IF(M149="Rozvaha",VLOOKUP(S149,'radky_R'!A:O,9,0),IF(M149="Výsledovka",VLOOKUP(S149,'radky_V'!A:M,9,0),"-")))</f>
        <v>-</v>
      </c>
      <c r="W149" s="104" t="str">
        <f>IF(I149=0,"-",IF(M149="Rozvaha",VLOOKUP(S149,'radky_R'!A:O,15,0),IF(M149="Výsledovka",VLOOKUP(S149,'radky_V'!A:M,11,0),"-")))</f>
        <v>-</v>
      </c>
      <c r="X149" s="5" t="str">
        <f>IF(I149=0,"-",VLOOKUP(K149,ucty_synt!A:S,19,0))</f>
        <v>-</v>
      </c>
      <c r="Y149" s="6">
        <f t="shared" si="20"/>
        <v>0</v>
      </c>
      <c r="Z149" s="650" t="str">
        <f>IF(data[[#This Row],[uc_synt]]="-","-",VLOOKUP(data[[#This Row],[uc_synt]],ucty_synt!A:T,20,0))</f>
        <v>-</v>
      </c>
      <c r="AA149" s="650" t="str">
        <f>IF(COUNTIF(proc_exc!A:A,data[[#This Row],[ucet]])&gt;1,"chyba v proc_exc!",IF(COUNTIF(proc_exc!A:A,data[[#This Row],[ucet]])=1,VLOOKUP(data[[#This Row],[ucet]],proc_exc!A:E,5,0),data[[#This Row],[proces default]]))</f>
        <v>-</v>
      </c>
    </row>
    <row r="150" spans="2:27" x14ac:dyDescent="0.3">
      <c r="B150" s="36"/>
      <c r="C150" s="32"/>
      <c r="J150" s="15" t="str">
        <f t="shared" si="18"/>
        <v xml:space="preserve"> </v>
      </c>
      <c r="K150" s="3" t="str">
        <f>IF(I150=0,"-",VALUE(LEFT(D150,LEN(D150)-(INDEX!$E$13-3))))</f>
        <v>-</v>
      </c>
      <c r="L150" s="5" t="str">
        <f>IF(I150=0,"-",VLOOKUP(K150,ucty_synt!A:B,2,0))</f>
        <v>-</v>
      </c>
      <c r="M150" s="15" t="str">
        <f>IF(S150="-","-",VLOOKUP(K150,ucty_synt!A:S,3,0))</f>
        <v>-</v>
      </c>
      <c r="N150" s="15" t="str">
        <f>IF(I150=0,"-",IF(M150="Rozvaha",VLOOKUP(S150,'radky_R'!A:O,6,0),IF(M150="Výsledovka",VLOOKUP(S150,'radky_V'!A:M,6,0),"-")))</f>
        <v>-</v>
      </c>
      <c r="O150" s="3" t="str">
        <f>IF(I150=0,"-",IF(COUNTIF(ucty_synt!A:A,K150)=0,"účet n/a",IF(VLOOKUP(K150,ucty_synt!A:S,4,0)=RIGHT($P$1,5),"podle AÚ",IF(VLOOKUP(K150,ucty_synt!A:S,4,0)=RIGHT($Q$1,5),"podle SÚ",IF(SUMIF(ucty_synt!A:A,K150,ucty_synt!E:E)&lt;&gt;0,VLOOKUP(K150,ucty_synt!A:T,5,0),"doplnit")))))</f>
        <v>-</v>
      </c>
      <c r="P150" s="3" t="str">
        <f>IF(I150=0,"-",IF(VLOOKUP(K150,ucty_synt!A:S,4,0)=RIGHT($P$1,5),IF(SUMIFS(I:I,C:C,C150,D:D,D150)&gt;=0,VLOOKUP(K150,ucty_synt!A:E,5,0),VLOOKUP(K150,ucty_synt!A:L,12,0)),"-"))</f>
        <v>-</v>
      </c>
      <c r="Q150" s="3" t="str">
        <f>IF(I150=0,"-",IF(VLOOKUP(K150,ucty_synt!A:S,4,0)=RIGHT($Q$1,5),IF(SUMIFS(I:I,C:C,C150,K:K,K150)&gt;=0,VLOOKUP(K150,ucty_synt!A:E,5,0),VLOOKUP(K150,ucty_synt!A:L,12,0)),"-"))</f>
        <v>-</v>
      </c>
      <c r="R150" s="459"/>
      <c r="S150" s="8" t="str">
        <f t="shared" si="19"/>
        <v>-</v>
      </c>
      <c r="T150" s="15" t="str">
        <f>IF(S150="-","-",IF(M150="Rozvaha",VLOOKUP(S150,'radky_R'!A:O,14,0),IF(M150="Výsledovka",VLOOKUP(S150,'radky_V'!A:M,12,0),"-")))</f>
        <v>-</v>
      </c>
      <c r="U150" s="20" t="str">
        <f>IF(I150=0,"-",IF(M150="Rozvaha",VLOOKUP(S150,'radky_R'!A:O,8,0),IF(M150="Výsledovka",VLOOKUP(S150,'radky_V'!A:M,8,0),"-")))</f>
        <v>-</v>
      </c>
      <c r="V150" s="20" t="str">
        <f>IF(I150=0,"-",IF(M150="Rozvaha",VLOOKUP(S150,'radky_R'!A:O,9,0),IF(M150="Výsledovka",VLOOKUP(S150,'radky_V'!A:M,9,0),"-")))</f>
        <v>-</v>
      </c>
      <c r="W150" s="104" t="str">
        <f>IF(I150=0,"-",IF(M150="Rozvaha",VLOOKUP(S150,'radky_R'!A:O,15,0),IF(M150="Výsledovka",VLOOKUP(S150,'radky_V'!A:M,11,0),"-")))</f>
        <v>-</v>
      </c>
      <c r="X150" s="5" t="str">
        <f>IF(I150=0,"-",VLOOKUP(K150,ucty_synt!A:S,19,0))</f>
        <v>-</v>
      </c>
      <c r="Y150" s="6">
        <f t="shared" si="20"/>
        <v>0</v>
      </c>
      <c r="Z150" s="650" t="str">
        <f>IF(data[[#This Row],[uc_synt]]="-","-",VLOOKUP(data[[#This Row],[uc_synt]],ucty_synt!A:T,20,0))</f>
        <v>-</v>
      </c>
      <c r="AA150" s="650" t="str">
        <f>IF(COUNTIF(proc_exc!A:A,data[[#This Row],[ucet]])&gt;1,"chyba v proc_exc!",IF(COUNTIF(proc_exc!A:A,data[[#This Row],[ucet]])=1,VLOOKUP(data[[#This Row],[ucet]],proc_exc!A:E,5,0),data[[#This Row],[proces default]]))</f>
        <v>-</v>
      </c>
    </row>
    <row r="151" spans="2:27" x14ac:dyDescent="0.3">
      <c r="B151" s="36"/>
      <c r="C151" s="32"/>
      <c r="J151" s="15" t="str">
        <f t="shared" ref="J151:J167" si="21">CONCATENATE(D151," ",E151)</f>
        <v xml:space="preserve"> </v>
      </c>
      <c r="K151" s="3" t="str">
        <f>IF(I151=0,"-",VALUE(LEFT(D151,LEN(D151)-(INDEX!$E$13-3))))</f>
        <v>-</v>
      </c>
      <c r="L151" s="5" t="str">
        <f>IF(I151=0,"-",VLOOKUP(K151,ucty_synt!A:B,2,0))</f>
        <v>-</v>
      </c>
      <c r="M151" s="15" t="str">
        <f>IF(S151="-","-",VLOOKUP(K151,ucty_synt!A:S,3,0))</f>
        <v>-</v>
      </c>
      <c r="N151" s="15" t="str">
        <f>IF(I151=0,"-",IF(M151="Rozvaha",VLOOKUP(S151,'radky_R'!A:O,6,0),IF(M151="Výsledovka",VLOOKUP(S151,'radky_V'!A:M,6,0),"-")))</f>
        <v>-</v>
      </c>
      <c r="O151" s="3" t="str">
        <f>IF(I151=0,"-",IF(COUNTIF(ucty_synt!A:A,K151)=0,"účet n/a",IF(VLOOKUP(K151,ucty_synt!A:S,4,0)=RIGHT($P$1,5),"podle AÚ",IF(VLOOKUP(K151,ucty_synt!A:S,4,0)=RIGHT($Q$1,5),"podle SÚ",IF(SUMIF(ucty_synt!A:A,K151,ucty_synt!E:E)&lt;&gt;0,VLOOKUP(K151,ucty_synt!A:T,5,0),"doplnit")))))</f>
        <v>-</v>
      </c>
      <c r="P151" s="3" t="str">
        <f>IF(I151=0,"-",IF(VLOOKUP(K151,ucty_synt!A:S,4,0)=RIGHT($P$1,5),IF(SUMIFS(I:I,C:C,C151,D:D,D151)&gt;=0,VLOOKUP(K151,ucty_synt!A:E,5,0),VLOOKUP(K151,ucty_synt!A:L,12,0)),"-"))</f>
        <v>-</v>
      </c>
      <c r="Q151" s="3" t="str">
        <f>IF(I151=0,"-",IF(VLOOKUP(K151,ucty_synt!A:S,4,0)=RIGHT($Q$1,5),IF(SUMIFS(I:I,C:C,C151,K:K,K151)&gt;=0,VLOOKUP(K151,ucty_synt!A:E,5,0),VLOOKUP(K151,ucty_synt!A:L,12,0)),"-"))</f>
        <v>-</v>
      </c>
      <c r="R151" s="459"/>
      <c r="S151" s="8" t="str">
        <f t="shared" ref="S151:S167" si="22">IF(ISNUMBER(R151),R151,IF(ISNUMBER(Q151),Q151,IF(ISNUMBER(P151),P151,IF(ISNUMBER(O151),O151,"-"))))</f>
        <v>-</v>
      </c>
      <c r="T151" s="15" t="str">
        <f>IF(S151="-","-",IF(M151="Rozvaha",VLOOKUP(S151,'radky_R'!A:O,14,0),IF(M151="Výsledovka",VLOOKUP(S151,'radky_V'!A:M,12,0),"-")))</f>
        <v>-</v>
      </c>
      <c r="U151" s="20" t="str">
        <f>IF(I151=0,"-",IF(M151="Rozvaha",VLOOKUP(S151,'radky_R'!A:O,8,0),IF(M151="Výsledovka",VLOOKUP(S151,'radky_V'!A:M,8,0),"-")))</f>
        <v>-</v>
      </c>
      <c r="V151" s="20" t="str">
        <f>IF(I151=0,"-",IF(M151="Rozvaha",VLOOKUP(S151,'radky_R'!A:O,9,0),IF(M151="Výsledovka",VLOOKUP(S151,'radky_V'!A:M,9,0),"-")))</f>
        <v>-</v>
      </c>
      <c r="W151" s="104" t="str">
        <f>IF(I151=0,"-",IF(M151="Rozvaha",VLOOKUP(S151,'radky_R'!A:O,15,0),IF(M151="Výsledovka",VLOOKUP(S151,'radky_V'!A:M,11,0),"-")))</f>
        <v>-</v>
      </c>
      <c r="X151" s="5" t="str">
        <f>IF(I151=0,"-",VLOOKUP(K151,ucty_synt!A:S,19,0))</f>
        <v>-</v>
      </c>
      <c r="Y151" s="6">
        <f t="shared" si="20"/>
        <v>0</v>
      </c>
      <c r="Z151" s="650" t="str">
        <f>IF(data[[#This Row],[uc_synt]]="-","-",VLOOKUP(data[[#This Row],[uc_synt]],ucty_synt!A:T,20,0))</f>
        <v>-</v>
      </c>
      <c r="AA151" s="650" t="str">
        <f>IF(COUNTIF(proc_exc!A:A,data[[#This Row],[ucet]])&gt;1,"chyba v proc_exc!",IF(COUNTIF(proc_exc!A:A,data[[#This Row],[ucet]])=1,VLOOKUP(data[[#This Row],[ucet]],proc_exc!A:E,5,0),data[[#This Row],[proces default]]))</f>
        <v>-</v>
      </c>
    </row>
    <row r="152" spans="2:27" x14ac:dyDescent="0.3">
      <c r="B152" s="36"/>
      <c r="C152" s="32"/>
      <c r="J152" s="15" t="str">
        <f t="shared" si="21"/>
        <v xml:space="preserve"> </v>
      </c>
      <c r="K152" s="3" t="str">
        <f>IF(I152=0,"-",VALUE(LEFT(D152,LEN(D152)-(INDEX!$E$13-3))))</f>
        <v>-</v>
      </c>
      <c r="L152" s="5" t="str">
        <f>IF(I152=0,"-",VLOOKUP(K152,ucty_synt!A:B,2,0))</f>
        <v>-</v>
      </c>
      <c r="M152" s="15" t="str">
        <f>IF(S152="-","-",VLOOKUP(K152,ucty_synt!A:S,3,0))</f>
        <v>-</v>
      </c>
      <c r="N152" s="15" t="str">
        <f>IF(I152=0,"-",IF(M152="Rozvaha",VLOOKUP(S152,'radky_R'!A:O,6,0),IF(M152="Výsledovka",VLOOKUP(S152,'radky_V'!A:M,6,0),"-")))</f>
        <v>-</v>
      </c>
      <c r="O152" s="3" t="str">
        <f>IF(I152=0,"-",IF(COUNTIF(ucty_synt!A:A,K152)=0,"účet n/a",IF(VLOOKUP(K152,ucty_synt!A:S,4,0)=RIGHT($P$1,5),"podle AÚ",IF(VLOOKUP(K152,ucty_synt!A:S,4,0)=RIGHT($Q$1,5),"podle SÚ",IF(SUMIF(ucty_synt!A:A,K152,ucty_synt!E:E)&lt;&gt;0,VLOOKUP(K152,ucty_synt!A:T,5,0),"doplnit")))))</f>
        <v>-</v>
      </c>
      <c r="P152" s="3" t="str">
        <f>IF(I152=0,"-",IF(VLOOKUP(K152,ucty_synt!A:S,4,0)=RIGHT($P$1,5),IF(SUMIFS(I:I,C:C,C152,D:D,D152)&gt;=0,VLOOKUP(K152,ucty_synt!A:E,5,0),VLOOKUP(K152,ucty_synt!A:L,12,0)),"-"))</f>
        <v>-</v>
      </c>
      <c r="Q152" s="3" t="str">
        <f>IF(I152=0,"-",IF(VLOOKUP(K152,ucty_synt!A:S,4,0)=RIGHT($Q$1,5),IF(SUMIFS(I:I,C:C,C152,K:K,K152)&gt;=0,VLOOKUP(K152,ucty_synt!A:E,5,0),VLOOKUP(K152,ucty_synt!A:L,12,0)),"-"))</f>
        <v>-</v>
      </c>
      <c r="R152" s="459"/>
      <c r="S152" s="8" t="str">
        <f t="shared" si="22"/>
        <v>-</v>
      </c>
      <c r="T152" s="15" t="str">
        <f>IF(S152="-","-",IF(M152="Rozvaha",VLOOKUP(S152,'radky_R'!A:O,14,0),IF(M152="Výsledovka",VLOOKUP(S152,'radky_V'!A:M,12,0),"-")))</f>
        <v>-</v>
      </c>
      <c r="U152" s="20" t="str">
        <f>IF(I152=0,"-",IF(M152="Rozvaha",VLOOKUP(S152,'radky_R'!A:O,8,0),IF(M152="Výsledovka",VLOOKUP(S152,'radky_V'!A:M,8,0),"-")))</f>
        <v>-</v>
      </c>
      <c r="V152" s="20" t="str">
        <f>IF(I152=0,"-",IF(M152="Rozvaha",VLOOKUP(S152,'radky_R'!A:O,9,0),IF(M152="Výsledovka",VLOOKUP(S152,'radky_V'!A:M,9,0),"-")))</f>
        <v>-</v>
      </c>
      <c r="W152" s="104" t="str">
        <f>IF(I152=0,"-",IF(M152="Rozvaha",VLOOKUP(S152,'radky_R'!A:O,15,0),IF(M152="Výsledovka",VLOOKUP(S152,'radky_V'!A:M,11,0),"-")))</f>
        <v>-</v>
      </c>
      <c r="X152" s="5" t="str">
        <f>IF(I152=0,"-",VLOOKUP(K152,ucty_synt!A:S,19,0))</f>
        <v>-</v>
      </c>
      <c r="Y152" s="6">
        <f t="shared" si="20"/>
        <v>0</v>
      </c>
      <c r="Z152" s="650" t="str">
        <f>IF(data[[#This Row],[uc_synt]]="-","-",VLOOKUP(data[[#This Row],[uc_synt]],ucty_synt!A:T,20,0))</f>
        <v>-</v>
      </c>
      <c r="AA152" s="650" t="str">
        <f>IF(COUNTIF(proc_exc!A:A,data[[#This Row],[ucet]])&gt;1,"chyba v proc_exc!",IF(COUNTIF(proc_exc!A:A,data[[#This Row],[ucet]])=1,VLOOKUP(data[[#This Row],[ucet]],proc_exc!A:E,5,0),data[[#This Row],[proces default]]))</f>
        <v>-</v>
      </c>
    </row>
    <row r="153" spans="2:27" x14ac:dyDescent="0.3">
      <c r="B153" s="36"/>
      <c r="C153" s="32"/>
      <c r="J153" s="15" t="str">
        <f t="shared" si="21"/>
        <v xml:space="preserve"> </v>
      </c>
      <c r="K153" s="3" t="str">
        <f>IF(I153=0,"-",VALUE(LEFT(D153,LEN(D153)-(INDEX!$E$13-3))))</f>
        <v>-</v>
      </c>
      <c r="L153" s="5" t="str">
        <f>IF(I153=0,"-",VLOOKUP(K153,ucty_synt!A:B,2,0))</f>
        <v>-</v>
      </c>
      <c r="M153" s="15" t="str">
        <f>IF(S153="-","-",VLOOKUP(K153,ucty_synt!A:S,3,0))</f>
        <v>-</v>
      </c>
      <c r="N153" s="15" t="str">
        <f>IF(I153=0,"-",IF(M153="Rozvaha",VLOOKUP(S153,'radky_R'!A:O,6,0),IF(M153="Výsledovka",VLOOKUP(S153,'radky_V'!A:M,6,0),"-")))</f>
        <v>-</v>
      </c>
      <c r="O153" s="3" t="str">
        <f>IF(I153=0,"-",IF(COUNTIF(ucty_synt!A:A,K153)=0,"účet n/a",IF(VLOOKUP(K153,ucty_synt!A:S,4,0)=RIGHT($P$1,5),"podle AÚ",IF(VLOOKUP(K153,ucty_synt!A:S,4,0)=RIGHT($Q$1,5),"podle SÚ",IF(SUMIF(ucty_synt!A:A,K153,ucty_synt!E:E)&lt;&gt;0,VLOOKUP(K153,ucty_synt!A:T,5,0),"doplnit")))))</f>
        <v>-</v>
      </c>
      <c r="P153" s="3" t="str">
        <f>IF(I153=0,"-",IF(VLOOKUP(K153,ucty_synt!A:S,4,0)=RIGHT($P$1,5),IF(SUMIFS(I:I,C:C,C153,D:D,D153)&gt;=0,VLOOKUP(K153,ucty_synt!A:E,5,0),VLOOKUP(K153,ucty_synt!A:L,12,0)),"-"))</f>
        <v>-</v>
      </c>
      <c r="Q153" s="3" t="str">
        <f>IF(I153=0,"-",IF(VLOOKUP(K153,ucty_synt!A:S,4,0)=RIGHT($Q$1,5),IF(SUMIFS(I:I,C:C,C153,K:K,K153)&gt;=0,VLOOKUP(K153,ucty_synt!A:E,5,0),VLOOKUP(K153,ucty_synt!A:L,12,0)),"-"))</f>
        <v>-</v>
      </c>
      <c r="R153" s="459"/>
      <c r="S153" s="8" t="str">
        <f t="shared" si="22"/>
        <v>-</v>
      </c>
      <c r="T153" s="15" t="str">
        <f>IF(S153="-","-",IF(M153="Rozvaha",VLOOKUP(S153,'radky_R'!A:O,14,0),IF(M153="Výsledovka",VLOOKUP(S153,'radky_V'!A:M,12,0),"-")))</f>
        <v>-</v>
      </c>
      <c r="U153" s="20" t="str">
        <f>IF(I153=0,"-",IF(M153="Rozvaha",VLOOKUP(S153,'radky_R'!A:O,8,0),IF(M153="Výsledovka",VLOOKUP(S153,'radky_V'!A:M,8,0),"-")))</f>
        <v>-</v>
      </c>
      <c r="V153" s="20" t="str">
        <f>IF(I153=0,"-",IF(M153="Rozvaha",VLOOKUP(S153,'radky_R'!A:O,9,0),IF(M153="Výsledovka",VLOOKUP(S153,'radky_V'!A:M,9,0),"-")))</f>
        <v>-</v>
      </c>
      <c r="W153" s="104" t="str">
        <f>IF(I153=0,"-",IF(M153="Rozvaha",VLOOKUP(S153,'radky_R'!A:O,15,0),IF(M153="Výsledovka",VLOOKUP(S153,'radky_V'!A:M,11,0),"-")))</f>
        <v>-</v>
      </c>
      <c r="X153" s="5" t="str">
        <f>IF(I153=0,"-",VLOOKUP(K153,ucty_synt!A:S,19,0))</f>
        <v>-</v>
      </c>
      <c r="Y153" s="6">
        <f t="shared" si="20"/>
        <v>0</v>
      </c>
      <c r="Z153" s="650" t="str">
        <f>IF(data[[#This Row],[uc_synt]]="-","-",VLOOKUP(data[[#This Row],[uc_synt]],ucty_synt!A:T,20,0))</f>
        <v>-</v>
      </c>
      <c r="AA153" s="650" t="str">
        <f>IF(COUNTIF(proc_exc!A:A,data[[#This Row],[ucet]])&gt;1,"chyba v proc_exc!",IF(COUNTIF(proc_exc!A:A,data[[#This Row],[ucet]])=1,VLOOKUP(data[[#This Row],[ucet]],proc_exc!A:E,5,0),data[[#This Row],[proces default]]))</f>
        <v>-</v>
      </c>
    </row>
    <row r="154" spans="2:27" x14ac:dyDescent="0.3">
      <c r="B154" s="36"/>
      <c r="C154" s="32"/>
      <c r="J154" s="15" t="str">
        <f t="shared" si="21"/>
        <v xml:space="preserve"> </v>
      </c>
      <c r="K154" s="3" t="str">
        <f>IF(I154=0,"-",VALUE(LEFT(D154,LEN(D154)-(INDEX!$E$13-3))))</f>
        <v>-</v>
      </c>
      <c r="L154" s="5" t="str">
        <f>IF(I154=0,"-",VLOOKUP(K154,ucty_synt!A:B,2,0))</f>
        <v>-</v>
      </c>
      <c r="M154" s="15" t="str">
        <f>IF(S154="-","-",VLOOKUP(K154,ucty_synt!A:S,3,0))</f>
        <v>-</v>
      </c>
      <c r="N154" s="15" t="str">
        <f>IF(I154=0,"-",IF(M154="Rozvaha",VLOOKUP(S154,'radky_R'!A:O,6,0),IF(M154="Výsledovka",VLOOKUP(S154,'radky_V'!A:M,6,0),"-")))</f>
        <v>-</v>
      </c>
      <c r="O154" s="3" t="str">
        <f>IF(I154=0,"-",IF(COUNTIF(ucty_synt!A:A,K154)=0,"účet n/a",IF(VLOOKUP(K154,ucty_synt!A:S,4,0)=RIGHT($P$1,5),"podle AÚ",IF(VLOOKUP(K154,ucty_synt!A:S,4,0)=RIGHT($Q$1,5),"podle SÚ",IF(SUMIF(ucty_synt!A:A,K154,ucty_synt!E:E)&lt;&gt;0,VLOOKUP(K154,ucty_synt!A:T,5,0),"doplnit")))))</f>
        <v>-</v>
      </c>
      <c r="P154" s="3" t="str">
        <f>IF(I154=0,"-",IF(VLOOKUP(K154,ucty_synt!A:S,4,0)=RIGHT($P$1,5),IF(SUMIFS(I:I,C:C,C154,D:D,D154)&gt;=0,VLOOKUP(K154,ucty_synt!A:E,5,0),VLOOKUP(K154,ucty_synt!A:L,12,0)),"-"))</f>
        <v>-</v>
      </c>
      <c r="Q154" s="3" t="str">
        <f>IF(I154=0,"-",IF(VLOOKUP(K154,ucty_synt!A:S,4,0)=RIGHT($Q$1,5),IF(SUMIFS(I:I,C:C,C154,K:K,K154)&gt;=0,VLOOKUP(K154,ucty_synt!A:E,5,0),VLOOKUP(K154,ucty_synt!A:L,12,0)),"-"))</f>
        <v>-</v>
      </c>
      <c r="R154" s="459"/>
      <c r="S154" s="8" t="str">
        <f t="shared" si="22"/>
        <v>-</v>
      </c>
      <c r="T154" s="15" t="str">
        <f>IF(S154="-","-",IF(M154="Rozvaha",VLOOKUP(S154,'radky_R'!A:O,14,0),IF(M154="Výsledovka",VLOOKUP(S154,'radky_V'!A:M,12,0),"-")))</f>
        <v>-</v>
      </c>
      <c r="U154" s="20" t="str">
        <f>IF(I154=0,"-",IF(M154="Rozvaha",VLOOKUP(S154,'radky_R'!A:O,8,0),IF(M154="Výsledovka",VLOOKUP(S154,'radky_V'!A:M,8,0),"-")))</f>
        <v>-</v>
      </c>
      <c r="V154" s="20" t="str">
        <f>IF(I154=0,"-",IF(M154="Rozvaha",VLOOKUP(S154,'radky_R'!A:O,9,0),IF(M154="Výsledovka",VLOOKUP(S154,'radky_V'!A:M,9,0),"-")))</f>
        <v>-</v>
      </c>
      <c r="W154" s="104" t="str">
        <f>IF(I154=0,"-",IF(M154="Rozvaha",VLOOKUP(S154,'radky_R'!A:O,15,0),IF(M154="Výsledovka",VLOOKUP(S154,'radky_V'!A:M,11,0),"-")))</f>
        <v>-</v>
      </c>
      <c r="X154" s="5" t="str">
        <f>IF(I154=0,"-",VLOOKUP(K154,ucty_synt!A:S,19,0))</f>
        <v>-</v>
      </c>
      <c r="Y154" s="6">
        <f t="shared" si="20"/>
        <v>0</v>
      </c>
      <c r="Z154" s="650" t="str">
        <f>IF(data[[#This Row],[uc_synt]]="-","-",VLOOKUP(data[[#This Row],[uc_synt]],ucty_synt!A:T,20,0))</f>
        <v>-</v>
      </c>
      <c r="AA154" s="650" t="str">
        <f>IF(COUNTIF(proc_exc!A:A,data[[#This Row],[ucet]])&gt;1,"chyba v proc_exc!",IF(COUNTIF(proc_exc!A:A,data[[#This Row],[ucet]])=1,VLOOKUP(data[[#This Row],[ucet]],proc_exc!A:E,5,0),data[[#This Row],[proces default]]))</f>
        <v>-</v>
      </c>
    </row>
    <row r="155" spans="2:27" x14ac:dyDescent="0.3">
      <c r="B155" s="36"/>
      <c r="C155" s="32"/>
      <c r="J155" s="15" t="str">
        <f t="shared" si="21"/>
        <v xml:space="preserve"> </v>
      </c>
      <c r="K155" s="3" t="str">
        <f>IF(I155=0,"-",VALUE(LEFT(D155,LEN(D155)-(INDEX!$E$13-3))))</f>
        <v>-</v>
      </c>
      <c r="L155" s="5" t="str">
        <f>IF(I155=0,"-",VLOOKUP(K155,ucty_synt!A:B,2,0))</f>
        <v>-</v>
      </c>
      <c r="M155" s="15" t="str">
        <f>IF(S155="-","-",VLOOKUP(K155,ucty_synt!A:S,3,0))</f>
        <v>-</v>
      </c>
      <c r="N155" s="15" t="str">
        <f>IF(I155=0,"-",IF(M155="Rozvaha",VLOOKUP(S155,'radky_R'!A:O,6,0),IF(M155="Výsledovka",VLOOKUP(S155,'radky_V'!A:M,6,0),"-")))</f>
        <v>-</v>
      </c>
      <c r="O155" s="3" t="str">
        <f>IF(I155=0,"-",IF(COUNTIF(ucty_synt!A:A,K155)=0,"účet n/a",IF(VLOOKUP(K155,ucty_synt!A:S,4,0)=RIGHT($P$1,5),"podle AÚ",IF(VLOOKUP(K155,ucty_synt!A:S,4,0)=RIGHT($Q$1,5),"podle SÚ",IF(SUMIF(ucty_synt!A:A,K155,ucty_synt!E:E)&lt;&gt;0,VLOOKUP(K155,ucty_synt!A:T,5,0),"doplnit")))))</f>
        <v>-</v>
      </c>
      <c r="P155" s="3" t="str">
        <f>IF(I155=0,"-",IF(VLOOKUP(K155,ucty_synt!A:S,4,0)=RIGHT($P$1,5),IF(SUMIFS(I:I,C:C,C155,D:D,D155)&gt;=0,VLOOKUP(K155,ucty_synt!A:E,5,0),VLOOKUP(K155,ucty_synt!A:L,12,0)),"-"))</f>
        <v>-</v>
      </c>
      <c r="Q155" s="3" t="str">
        <f>IF(I155=0,"-",IF(VLOOKUP(K155,ucty_synt!A:S,4,0)=RIGHT($Q$1,5),IF(SUMIFS(I:I,C:C,C155,K:K,K155)&gt;=0,VLOOKUP(K155,ucty_synt!A:E,5,0),VLOOKUP(K155,ucty_synt!A:L,12,0)),"-"))</f>
        <v>-</v>
      </c>
      <c r="R155" s="459"/>
      <c r="S155" s="8" t="str">
        <f t="shared" si="22"/>
        <v>-</v>
      </c>
      <c r="T155" s="15" t="str">
        <f>IF(S155="-","-",IF(M155="Rozvaha",VLOOKUP(S155,'radky_R'!A:O,14,0),IF(M155="Výsledovka",VLOOKUP(S155,'radky_V'!A:M,12,0),"-")))</f>
        <v>-</v>
      </c>
      <c r="U155" s="20" t="str">
        <f>IF(I155=0,"-",IF(M155="Rozvaha",VLOOKUP(S155,'radky_R'!A:O,8,0),IF(M155="Výsledovka",VLOOKUP(S155,'radky_V'!A:M,8,0),"-")))</f>
        <v>-</v>
      </c>
      <c r="V155" s="20" t="str">
        <f>IF(I155=0,"-",IF(M155="Rozvaha",VLOOKUP(S155,'radky_R'!A:O,9,0),IF(M155="Výsledovka",VLOOKUP(S155,'radky_V'!A:M,9,0),"-")))</f>
        <v>-</v>
      </c>
      <c r="W155" s="104" t="str">
        <f>IF(I155=0,"-",IF(M155="Rozvaha",VLOOKUP(S155,'radky_R'!A:O,15,0),IF(M155="Výsledovka",VLOOKUP(S155,'radky_V'!A:M,11,0),"-")))</f>
        <v>-</v>
      </c>
      <c r="X155" s="5" t="str">
        <f>IF(I155=0,"-",VLOOKUP(K155,ucty_synt!A:S,19,0))</f>
        <v>-</v>
      </c>
      <c r="Y155" s="6">
        <f t="shared" si="20"/>
        <v>0</v>
      </c>
      <c r="Z155" s="650" t="str">
        <f>IF(data[[#This Row],[uc_synt]]="-","-",VLOOKUP(data[[#This Row],[uc_synt]],ucty_synt!A:T,20,0))</f>
        <v>-</v>
      </c>
      <c r="AA155" s="650" t="str">
        <f>IF(COUNTIF(proc_exc!A:A,data[[#This Row],[ucet]])&gt;1,"chyba v proc_exc!",IF(COUNTIF(proc_exc!A:A,data[[#This Row],[ucet]])=1,VLOOKUP(data[[#This Row],[ucet]],proc_exc!A:E,5,0),data[[#This Row],[proces default]]))</f>
        <v>-</v>
      </c>
    </row>
    <row r="156" spans="2:27" x14ac:dyDescent="0.3">
      <c r="B156" s="36"/>
      <c r="C156" s="32"/>
      <c r="J156" s="15" t="str">
        <f t="shared" si="21"/>
        <v xml:space="preserve"> </v>
      </c>
      <c r="K156" s="3" t="str">
        <f>IF(I156=0,"-",VALUE(LEFT(D156,LEN(D156)-(INDEX!$E$13-3))))</f>
        <v>-</v>
      </c>
      <c r="L156" s="5" t="str">
        <f>IF(I156=0,"-",VLOOKUP(K156,ucty_synt!A:B,2,0))</f>
        <v>-</v>
      </c>
      <c r="M156" s="15" t="str">
        <f>IF(S156="-","-",VLOOKUP(K156,ucty_synt!A:S,3,0))</f>
        <v>-</v>
      </c>
      <c r="N156" s="15" t="str">
        <f>IF(I156=0,"-",IF(M156="Rozvaha",VLOOKUP(S156,'radky_R'!A:O,6,0),IF(M156="Výsledovka",VLOOKUP(S156,'radky_V'!A:M,6,0),"-")))</f>
        <v>-</v>
      </c>
      <c r="O156" s="3" t="str">
        <f>IF(I156=0,"-",IF(COUNTIF(ucty_synt!A:A,K156)=0,"účet n/a",IF(VLOOKUP(K156,ucty_synt!A:S,4,0)=RIGHT($P$1,5),"podle AÚ",IF(VLOOKUP(K156,ucty_synt!A:S,4,0)=RIGHT($Q$1,5),"podle SÚ",IF(SUMIF(ucty_synt!A:A,K156,ucty_synt!E:E)&lt;&gt;0,VLOOKUP(K156,ucty_synt!A:T,5,0),"doplnit")))))</f>
        <v>-</v>
      </c>
      <c r="P156" s="3" t="str">
        <f>IF(I156=0,"-",IF(VLOOKUP(K156,ucty_synt!A:S,4,0)=RIGHT($P$1,5),IF(SUMIFS(I:I,C:C,C156,D:D,D156)&gt;=0,VLOOKUP(K156,ucty_synt!A:E,5,0),VLOOKUP(K156,ucty_synt!A:L,12,0)),"-"))</f>
        <v>-</v>
      </c>
      <c r="Q156" s="3" t="str">
        <f>IF(I156=0,"-",IF(VLOOKUP(K156,ucty_synt!A:S,4,0)=RIGHT($Q$1,5),IF(SUMIFS(I:I,C:C,C156,K:K,K156)&gt;=0,VLOOKUP(K156,ucty_synt!A:E,5,0),VLOOKUP(K156,ucty_synt!A:L,12,0)),"-"))</f>
        <v>-</v>
      </c>
      <c r="R156" s="459"/>
      <c r="S156" s="8" t="str">
        <f t="shared" si="22"/>
        <v>-</v>
      </c>
      <c r="T156" s="15" t="str">
        <f>IF(S156="-","-",IF(M156="Rozvaha",VLOOKUP(S156,'radky_R'!A:O,14,0),IF(M156="Výsledovka",VLOOKUP(S156,'radky_V'!A:M,12,0),"-")))</f>
        <v>-</v>
      </c>
      <c r="U156" s="20" t="str">
        <f>IF(I156=0,"-",IF(M156="Rozvaha",VLOOKUP(S156,'radky_R'!A:O,8,0),IF(M156="Výsledovka",VLOOKUP(S156,'radky_V'!A:M,8,0),"-")))</f>
        <v>-</v>
      </c>
      <c r="V156" s="20" t="str">
        <f>IF(I156=0,"-",IF(M156="Rozvaha",VLOOKUP(S156,'radky_R'!A:O,9,0),IF(M156="Výsledovka",VLOOKUP(S156,'radky_V'!A:M,9,0),"-")))</f>
        <v>-</v>
      </c>
      <c r="W156" s="104" t="str">
        <f>IF(I156=0,"-",IF(M156="Rozvaha",VLOOKUP(S156,'radky_R'!A:O,15,0),IF(M156="Výsledovka",VLOOKUP(S156,'radky_V'!A:M,11,0),"-")))</f>
        <v>-</v>
      </c>
      <c r="X156" s="5" t="str">
        <f>IF(I156=0,"-",VLOOKUP(K156,ucty_synt!A:S,19,0))</f>
        <v>-</v>
      </c>
      <c r="Y156" s="6">
        <f t="shared" si="20"/>
        <v>0</v>
      </c>
      <c r="Z156" s="650" t="str">
        <f>IF(data[[#This Row],[uc_synt]]="-","-",VLOOKUP(data[[#This Row],[uc_synt]],ucty_synt!A:T,20,0))</f>
        <v>-</v>
      </c>
      <c r="AA156" s="650" t="str">
        <f>IF(COUNTIF(proc_exc!A:A,data[[#This Row],[ucet]])&gt;1,"chyba v proc_exc!",IF(COUNTIF(proc_exc!A:A,data[[#This Row],[ucet]])=1,VLOOKUP(data[[#This Row],[ucet]],proc_exc!A:E,5,0),data[[#This Row],[proces default]]))</f>
        <v>-</v>
      </c>
    </row>
    <row r="157" spans="2:27" x14ac:dyDescent="0.3">
      <c r="B157" s="36"/>
      <c r="C157" s="32"/>
      <c r="J157" s="15" t="str">
        <f t="shared" si="21"/>
        <v xml:space="preserve"> </v>
      </c>
      <c r="K157" s="3" t="str">
        <f>IF(I157=0,"-",VALUE(LEFT(D157,LEN(D157)-(INDEX!$E$13-3))))</f>
        <v>-</v>
      </c>
      <c r="L157" s="5" t="str">
        <f>IF(I157=0,"-",VLOOKUP(K157,ucty_synt!A:B,2,0))</f>
        <v>-</v>
      </c>
      <c r="M157" s="15" t="str">
        <f>IF(S157="-","-",VLOOKUP(K157,ucty_synt!A:S,3,0))</f>
        <v>-</v>
      </c>
      <c r="N157" s="15" t="str">
        <f>IF(I157=0,"-",IF(M157="Rozvaha",VLOOKUP(S157,'radky_R'!A:O,6,0),IF(M157="Výsledovka",VLOOKUP(S157,'radky_V'!A:M,6,0),"-")))</f>
        <v>-</v>
      </c>
      <c r="O157" s="3" t="str">
        <f>IF(I157=0,"-",IF(COUNTIF(ucty_synt!A:A,K157)=0,"účet n/a",IF(VLOOKUP(K157,ucty_synt!A:S,4,0)=RIGHT($P$1,5),"podle AÚ",IF(VLOOKUP(K157,ucty_synt!A:S,4,0)=RIGHT($Q$1,5),"podle SÚ",IF(SUMIF(ucty_synt!A:A,K157,ucty_synt!E:E)&lt;&gt;0,VLOOKUP(K157,ucty_synt!A:T,5,0),"doplnit")))))</f>
        <v>-</v>
      </c>
      <c r="P157" s="3" t="str">
        <f>IF(I157=0,"-",IF(VLOOKUP(K157,ucty_synt!A:S,4,0)=RIGHT($P$1,5),IF(SUMIFS(I:I,C:C,C157,D:D,D157)&gt;=0,VLOOKUP(K157,ucty_synt!A:E,5,0),VLOOKUP(K157,ucty_synt!A:L,12,0)),"-"))</f>
        <v>-</v>
      </c>
      <c r="Q157" s="3" t="str">
        <f>IF(I157=0,"-",IF(VLOOKUP(K157,ucty_synt!A:S,4,0)=RIGHT($Q$1,5),IF(SUMIFS(I:I,C:C,C157,K:K,K157)&gt;=0,VLOOKUP(K157,ucty_synt!A:E,5,0),VLOOKUP(K157,ucty_synt!A:L,12,0)),"-"))</f>
        <v>-</v>
      </c>
      <c r="R157" s="459"/>
      <c r="S157" s="8" t="str">
        <f t="shared" si="22"/>
        <v>-</v>
      </c>
      <c r="T157" s="15" t="str">
        <f>IF(S157="-","-",IF(M157="Rozvaha",VLOOKUP(S157,'radky_R'!A:O,14,0),IF(M157="Výsledovka",VLOOKUP(S157,'radky_V'!A:M,12,0),"-")))</f>
        <v>-</v>
      </c>
      <c r="U157" s="20" t="str">
        <f>IF(I157=0,"-",IF(M157="Rozvaha",VLOOKUP(S157,'radky_R'!A:O,8,0),IF(M157="Výsledovka",VLOOKUP(S157,'radky_V'!A:M,8,0),"-")))</f>
        <v>-</v>
      </c>
      <c r="V157" s="20" t="str">
        <f>IF(I157=0,"-",IF(M157="Rozvaha",VLOOKUP(S157,'radky_R'!A:O,9,0),IF(M157="Výsledovka",VLOOKUP(S157,'radky_V'!A:M,9,0),"-")))</f>
        <v>-</v>
      </c>
      <c r="W157" s="104" t="str">
        <f>IF(I157=0,"-",IF(M157="Rozvaha",VLOOKUP(S157,'radky_R'!A:O,15,0),IF(M157="Výsledovka",VLOOKUP(S157,'radky_V'!A:M,11,0),"-")))</f>
        <v>-</v>
      </c>
      <c r="X157" s="5" t="str">
        <f>IF(I157=0,"-",VLOOKUP(K157,ucty_synt!A:S,19,0))</f>
        <v>-</v>
      </c>
      <c r="Y157" s="6">
        <f t="shared" si="20"/>
        <v>0</v>
      </c>
      <c r="Z157" s="650" t="str">
        <f>IF(data[[#This Row],[uc_synt]]="-","-",VLOOKUP(data[[#This Row],[uc_synt]],ucty_synt!A:T,20,0))</f>
        <v>-</v>
      </c>
      <c r="AA157" s="650" t="str">
        <f>IF(COUNTIF(proc_exc!A:A,data[[#This Row],[ucet]])&gt;1,"chyba v proc_exc!",IF(COUNTIF(proc_exc!A:A,data[[#This Row],[ucet]])=1,VLOOKUP(data[[#This Row],[ucet]],proc_exc!A:E,5,0),data[[#This Row],[proces default]]))</f>
        <v>-</v>
      </c>
    </row>
    <row r="158" spans="2:27" x14ac:dyDescent="0.3">
      <c r="B158" s="36"/>
      <c r="C158" s="32"/>
      <c r="J158" s="15" t="str">
        <f t="shared" si="21"/>
        <v xml:space="preserve"> </v>
      </c>
      <c r="K158" s="3" t="str">
        <f>IF(I158=0,"-",VALUE(LEFT(D158,LEN(D158)-(INDEX!$E$13-3))))</f>
        <v>-</v>
      </c>
      <c r="L158" s="5" t="str">
        <f>IF(I158=0,"-",VLOOKUP(K158,ucty_synt!A:B,2,0))</f>
        <v>-</v>
      </c>
      <c r="M158" s="15" t="str">
        <f>IF(S158="-","-",VLOOKUP(K158,ucty_synt!A:S,3,0))</f>
        <v>-</v>
      </c>
      <c r="N158" s="15" t="str">
        <f>IF(I158=0,"-",IF(M158="Rozvaha",VLOOKUP(S158,'radky_R'!A:O,6,0),IF(M158="Výsledovka",VLOOKUP(S158,'radky_V'!A:M,6,0),"-")))</f>
        <v>-</v>
      </c>
      <c r="O158" s="3" t="str">
        <f>IF(I158=0,"-",IF(COUNTIF(ucty_synt!A:A,K158)=0,"účet n/a",IF(VLOOKUP(K158,ucty_synt!A:S,4,0)=RIGHT($P$1,5),"podle AÚ",IF(VLOOKUP(K158,ucty_synt!A:S,4,0)=RIGHT($Q$1,5),"podle SÚ",IF(SUMIF(ucty_synt!A:A,K158,ucty_synt!E:E)&lt;&gt;0,VLOOKUP(K158,ucty_synt!A:T,5,0),"doplnit")))))</f>
        <v>-</v>
      </c>
      <c r="P158" s="3" t="str">
        <f>IF(I158=0,"-",IF(VLOOKUP(K158,ucty_synt!A:S,4,0)=RIGHT($P$1,5),IF(SUMIFS(I:I,C:C,C158,D:D,D158)&gt;=0,VLOOKUP(K158,ucty_synt!A:E,5,0),VLOOKUP(K158,ucty_synt!A:L,12,0)),"-"))</f>
        <v>-</v>
      </c>
      <c r="Q158" s="3" t="str">
        <f>IF(I158=0,"-",IF(VLOOKUP(K158,ucty_synt!A:S,4,0)=RIGHT($Q$1,5),IF(SUMIFS(I:I,C:C,C158,K:K,K158)&gt;=0,VLOOKUP(K158,ucty_synt!A:E,5,0),VLOOKUP(K158,ucty_synt!A:L,12,0)),"-"))</f>
        <v>-</v>
      </c>
      <c r="R158" s="459"/>
      <c r="S158" s="8" t="str">
        <f t="shared" si="22"/>
        <v>-</v>
      </c>
      <c r="T158" s="15" t="str">
        <f>IF(S158="-","-",IF(M158="Rozvaha",VLOOKUP(S158,'radky_R'!A:O,14,0),IF(M158="Výsledovka",VLOOKUP(S158,'radky_V'!A:M,12,0),"-")))</f>
        <v>-</v>
      </c>
      <c r="U158" s="20" t="str">
        <f>IF(I158=0,"-",IF(M158="Rozvaha",VLOOKUP(S158,'radky_R'!A:O,8,0),IF(M158="Výsledovka",VLOOKUP(S158,'radky_V'!A:M,8,0),"-")))</f>
        <v>-</v>
      </c>
      <c r="V158" s="20" t="str">
        <f>IF(I158=0,"-",IF(M158="Rozvaha",VLOOKUP(S158,'radky_R'!A:O,9,0),IF(M158="Výsledovka",VLOOKUP(S158,'radky_V'!A:M,9,0),"-")))</f>
        <v>-</v>
      </c>
      <c r="W158" s="104" t="str">
        <f>IF(I158=0,"-",IF(M158="Rozvaha",VLOOKUP(S158,'radky_R'!A:O,15,0),IF(M158="Výsledovka",VLOOKUP(S158,'radky_V'!A:M,11,0),"-")))</f>
        <v>-</v>
      </c>
      <c r="X158" s="5" t="str">
        <f>IF(I158=0,"-",VLOOKUP(K158,ucty_synt!A:S,19,0))</f>
        <v>-</v>
      </c>
      <c r="Y158" s="6">
        <f t="shared" si="20"/>
        <v>0</v>
      </c>
      <c r="Z158" s="650" t="str">
        <f>IF(data[[#This Row],[uc_synt]]="-","-",VLOOKUP(data[[#This Row],[uc_synt]],ucty_synt!A:T,20,0))</f>
        <v>-</v>
      </c>
      <c r="AA158" s="650" t="str">
        <f>IF(COUNTIF(proc_exc!A:A,data[[#This Row],[ucet]])&gt;1,"chyba v proc_exc!",IF(COUNTIF(proc_exc!A:A,data[[#This Row],[ucet]])=1,VLOOKUP(data[[#This Row],[ucet]],proc_exc!A:E,5,0),data[[#This Row],[proces default]]))</f>
        <v>-</v>
      </c>
    </row>
    <row r="159" spans="2:27" x14ac:dyDescent="0.3">
      <c r="B159" s="36"/>
      <c r="C159" s="32"/>
      <c r="J159" s="15" t="str">
        <f t="shared" si="21"/>
        <v xml:space="preserve"> </v>
      </c>
      <c r="K159" s="3" t="str">
        <f>IF(I159=0,"-",VALUE(LEFT(D159,LEN(D159)-(INDEX!$E$13-3))))</f>
        <v>-</v>
      </c>
      <c r="L159" s="5" t="str">
        <f>IF(I159=0,"-",VLOOKUP(K159,ucty_synt!A:B,2,0))</f>
        <v>-</v>
      </c>
      <c r="M159" s="15" t="str">
        <f>IF(S159="-","-",VLOOKUP(K159,ucty_synt!A:S,3,0))</f>
        <v>-</v>
      </c>
      <c r="N159" s="15" t="str">
        <f>IF(I159=0,"-",IF(M159="Rozvaha",VLOOKUP(S159,'radky_R'!A:O,6,0),IF(M159="Výsledovka",VLOOKUP(S159,'radky_V'!A:M,6,0),"-")))</f>
        <v>-</v>
      </c>
      <c r="O159" s="3" t="str">
        <f>IF(I159=0,"-",IF(COUNTIF(ucty_synt!A:A,K159)=0,"účet n/a",IF(VLOOKUP(K159,ucty_synt!A:S,4,0)=RIGHT($P$1,5),"podle AÚ",IF(VLOOKUP(K159,ucty_synt!A:S,4,0)=RIGHT($Q$1,5),"podle SÚ",IF(SUMIF(ucty_synt!A:A,K159,ucty_synt!E:E)&lt;&gt;0,VLOOKUP(K159,ucty_synt!A:T,5,0),"doplnit")))))</f>
        <v>-</v>
      </c>
      <c r="P159" s="3" t="str">
        <f>IF(I159=0,"-",IF(VLOOKUP(K159,ucty_synt!A:S,4,0)=RIGHT($P$1,5),IF(SUMIFS(I:I,C:C,C159,D:D,D159)&gt;=0,VLOOKUP(K159,ucty_synt!A:E,5,0),VLOOKUP(K159,ucty_synt!A:L,12,0)),"-"))</f>
        <v>-</v>
      </c>
      <c r="Q159" s="3" t="str">
        <f>IF(I159=0,"-",IF(VLOOKUP(K159,ucty_synt!A:S,4,0)=RIGHT($Q$1,5),IF(SUMIFS(I:I,C:C,C159,K:K,K159)&gt;=0,VLOOKUP(K159,ucty_synt!A:E,5,0),VLOOKUP(K159,ucty_synt!A:L,12,0)),"-"))</f>
        <v>-</v>
      </c>
      <c r="R159" s="459"/>
      <c r="S159" s="8" t="str">
        <f t="shared" si="22"/>
        <v>-</v>
      </c>
      <c r="T159" s="15" t="str">
        <f>IF(S159="-","-",IF(M159="Rozvaha",VLOOKUP(S159,'radky_R'!A:O,14,0),IF(M159="Výsledovka",VLOOKUP(S159,'radky_V'!A:M,12,0),"-")))</f>
        <v>-</v>
      </c>
      <c r="U159" s="20" t="str">
        <f>IF(I159=0,"-",IF(M159="Rozvaha",VLOOKUP(S159,'radky_R'!A:O,8,0),IF(M159="Výsledovka",VLOOKUP(S159,'radky_V'!A:M,8,0),"-")))</f>
        <v>-</v>
      </c>
      <c r="V159" s="20" t="str">
        <f>IF(I159=0,"-",IF(M159="Rozvaha",VLOOKUP(S159,'radky_R'!A:O,9,0),IF(M159="Výsledovka",VLOOKUP(S159,'radky_V'!A:M,9,0),"-")))</f>
        <v>-</v>
      </c>
      <c r="W159" s="104" t="str">
        <f>IF(I159=0,"-",IF(M159="Rozvaha",VLOOKUP(S159,'radky_R'!A:O,15,0),IF(M159="Výsledovka",VLOOKUP(S159,'radky_V'!A:M,11,0),"-")))</f>
        <v>-</v>
      </c>
      <c r="X159" s="5" t="str">
        <f>IF(I159=0,"-",VLOOKUP(K159,ucty_synt!A:S,19,0))</f>
        <v>-</v>
      </c>
      <c r="Y159" s="6">
        <f t="shared" si="20"/>
        <v>0</v>
      </c>
      <c r="Z159" s="650" t="str">
        <f>IF(data[[#This Row],[uc_synt]]="-","-",VLOOKUP(data[[#This Row],[uc_synt]],ucty_synt!A:T,20,0))</f>
        <v>-</v>
      </c>
      <c r="AA159" s="650" t="str">
        <f>IF(COUNTIF(proc_exc!A:A,data[[#This Row],[ucet]])&gt;1,"chyba v proc_exc!",IF(COUNTIF(proc_exc!A:A,data[[#This Row],[ucet]])=1,VLOOKUP(data[[#This Row],[ucet]],proc_exc!A:E,5,0),data[[#This Row],[proces default]]))</f>
        <v>-</v>
      </c>
    </row>
    <row r="160" spans="2:27" x14ac:dyDescent="0.3">
      <c r="B160" s="36"/>
      <c r="C160" s="32"/>
      <c r="J160" s="15" t="str">
        <f t="shared" si="21"/>
        <v xml:space="preserve"> </v>
      </c>
      <c r="K160" s="3" t="str">
        <f>IF(I160=0,"-",VALUE(LEFT(D160,LEN(D160)-(INDEX!$E$13-3))))</f>
        <v>-</v>
      </c>
      <c r="L160" s="5" t="str">
        <f>IF(I160=0,"-",VLOOKUP(K160,ucty_synt!A:B,2,0))</f>
        <v>-</v>
      </c>
      <c r="M160" s="15" t="str">
        <f>IF(S160="-","-",VLOOKUP(K160,ucty_synt!A:S,3,0))</f>
        <v>-</v>
      </c>
      <c r="N160" s="15" t="str">
        <f>IF(I160=0,"-",IF(M160="Rozvaha",VLOOKUP(S160,'radky_R'!A:O,6,0),IF(M160="Výsledovka",VLOOKUP(S160,'radky_V'!A:M,6,0),"-")))</f>
        <v>-</v>
      </c>
      <c r="O160" s="3" t="str">
        <f>IF(I160=0,"-",IF(COUNTIF(ucty_synt!A:A,K160)=0,"účet n/a",IF(VLOOKUP(K160,ucty_synt!A:S,4,0)=RIGHT($P$1,5),"podle AÚ",IF(VLOOKUP(K160,ucty_synt!A:S,4,0)=RIGHT($Q$1,5),"podle SÚ",IF(SUMIF(ucty_synt!A:A,K160,ucty_synt!E:E)&lt;&gt;0,VLOOKUP(K160,ucty_synt!A:T,5,0),"doplnit")))))</f>
        <v>-</v>
      </c>
      <c r="P160" s="3" t="str">
        <f>IF(I160=0,"-",IF(VLOOKUP(K160,ucty_synt!A:S,4,0)=RIGHT($P$1,5),IF(SUMIFS(I:I,C:C,C160,D:D,D160)&gt;=0,VLOOKUP(K160,ucty_synt!A:E,5,0),VLOOKUP(K160,ucty_synt!A:L,12,0)),"-"))</f>
        <v>-</v>
      </c>
      <c r="Q160" s="3" t="str">
        <f>IF(I160=0,"-",IF(VLOOKUP(K160,ucty_synt!A:S,4,0)=RIGHT($Q$1,5),IF(SUMIFS(I:I,C:C,C160,K:K,K160)&gt;=0,VLOOKUP(K160,ucty_synt!A:E,5,0),VLOOKUP(K160,ucty_synt!A:L,12,0)),"-"))</f>
        <v>-</v>
      </c>
      <c r="R160" s="459"/>
      <c r="S160" s="8" t="str">
        <f t="shared" si="22"/>
        <v>-</v>
      </c>
      <c r="T160" s="15" t="str">
        <f>IF(S160="-","-",IF(M160="Rozvaha",VLOOKUP(S160,'radky_R'!A:O,14,0),IF(M160="Výsledovka",VLOOKUP(S160,'radky_V'!A:M,12,0),"-")))</f>
        <v>-</v>
      </c>
      <c r="U160" s="20" t="str">
        <f>IF(I160=0,"-",IF(M160="Rozvaha",VLOOKUP(S160,'radky_R'!A:O,8,0),IF(M160="Výsledovka",VLOOKUP(S160,'radky_V'!A:M,8,0),"-")))</f>
        <v>-</v>
      </c>
      <c r="V160" s="20" t="str">
        <f>IF(I160=0,"-",IF(M160="Rozvaha",VLOOKUP(S160,'radky_R'!A:O,9,0),IF(M160="Výsledovka",VLOOKUP(S160,'radky_V'!A:M,9,0),"-")))</f>
        <v>-</v>
      </c>
      <c r="W160" s="104" t="str">
        <f>IF(I160=0,"-",IF(M160="Rozvaha",VLOOKUP(S160,'radky_R'!A:O,15,0),IF(M160="Výsledovka",VLOOKUP(S160,'radky_V'!A:M,11,0),"-")))</f>
        <v>-</v>
      </c>
      <c r="X160" s="5" t="str">
        <f>IF(I160=0,"-",VLOOKUP(K160,ucty_synt!A:S,19,0))</f>
        <v>-</v>
      </c>
      <c r="Y160" s="6">
        <f t="shared" si="20"/>
        <v>0</v>
      </c>
      <c r="Z160" s="650" t="str">
        <f>IF(data[[#This Row],[uc_synt]]="-","-",VLOOKUP(data[[#This Row],[uc_synt]],ucty_synt!A:T,20,0))</f>
        <v>-</v>
      </c>
      <c r="AA160" s="650" t="str">
        <f>IF(COUNTIF(proc_exc!A:A,data[[#This Row],[ucet]])&gt;1,"chyba v proc_exc!",IF(COUNTIF(proc_exc!A:A,data[[#This Row],[ucet]])=1,VLOOKUP(data[[#This Row],[ucet]],proc_exc!A:E,5,0),data[[#This Row],[proces default]]))</f>
        <v>-</v>
      </c>
    </row>
    <row r="161" spans="2:27" x14ac:dyDescent="0.3">
      <c r="B161" s="36"/>
      <c r="C161" s="32"/>
      <c r="J161" s="15" t="str">
        <f t="shared" si="21"/>
        <v xml:space="preserve"> </v>
      </c>
      <c r="K161" s="3" t="str">
        <f>IF(I161=0,"-",VALUE(LEFT(D161,LEN(D161)-(INDEX!$E$13-3))))</f>
        <v>-</v>
      </c>
      <c r="L161" s="5" t="str">
        <f>IF(I161=0,"-",VLOOKUP(K161,ucty_synt!A:B,2,0))</f>
        <v>-</v>
      </c>
      <c r="M161" s="15" t="str">
        <f>IF(S161="-","-",VLOOKUP(K161,ucty_synt!A:S,3,0))</f>
        <v>-</v>
      </c>
      <c r="N161" s="15" t="str">
        <f>IF(I161=0,"-",IF(M161="Rozvaha",VLOOKUP(S161,'radky_R'!A:O,6,0),IF(M161="Výsledovka",VLOOKUP(S161,'radky_V'!A:M,6,0),"-")))</f>
        <v>-</v>
      </c>
      <c r="O161" s="3" t="str">
        <f>IF(I161=0,"-",IF(COUNTIF(ucty_synt!A:A,K161)=0,"účet n/a",IF(VLOOKUP(K161,ucty_synt!A:S,4,0)=RIGHT($P$1,5),"podle AÚ",IF(VLOOKUP(K161,ucty_synt!A:S,4,0)=RIGHT($Q$1,5),"podle SÚ",IF(SUMIF(ucty_synt!A:A,K161,ucty_synt!E:E)&lt;&gt;0,VLOOKUP(K161,ucty_synt!A:T,5,0),"doplnit")))))</f>
        <v>-</v>
      </c>
      <c r="P161" s="3" t="str">
        <f>IF(I161=0,"-",IF(VLOOKUP(K161,ucty_synt!A:S,4,0)=RIGHT($P$1,5),IF(SUMIFS(I:I,C:C,C161,D:D,D161)&gt;=0,VLOOKUP(K161,ucty_synt!A:E,5,0),VLOOKUP(K161,ucty_synt!A:L,12,0)),"-"))</f>
        <v>-</v>
      </c>
      <c r="Q161" s="3" t="str">
        <f>IF(I161=0,"-",IF(VLOOKUP(K161,ucty_synt!A:S,4,0)=RIGHT($Q$1,5),IF(SUMIFS(I:I,C:C,C161,K:K,K161)&gt;=0,VLOOKUP(K161,ucty_synt!A:E,5,0),VLOOKUP(K161,ucty_synt!A:L,12,0)),"-"))</f>
        <v>-</v>
      </c>
      <c r="R161" s="459"/>
      <c r="S161" s="8" t="str">
        <f t="shared" si="22"/>
        <v>-</v>
      </c>
      <c r="T161" s="15" t="str">
        <f>IF(S161="-","-",IF(M161="Rozvaha",VLOOKUP(S161,'radky_R'!A:O,14,0),IF(M161="Výsledovka",VLOOKUP(S161,'radky_V'!A:M,12,0),"-")))</f>
        <v>-</v>
      </c>
      <c r="U161" s="20" t="str">
        <f>IF(I161=0,"-",IF(M161="Rozvaha",VLOOKUP(S161,'radky_R'!A:O,8,0),IF(M161="Výsledovka",VLOOKUP(S161,'radky_V'!A:M,8,0),"-")))</f>
        <v>-</v>
      </c>
      <c r="V161" s="20" t="str">
        <f>IF(I161=0,"-",IF(M161="Rozvaha",VLOOKUP(S161,'radky_R'!A:O,9,0),IF(M161="Výsledovka",VLOOKUP(S161,'radky_V'!A:M,9,0),"-")))</f>
        <v>-</v>
      </c>
      <c r="W161" s="104" t="str">
        <f>IF(I161=0,"-",IF(M161="Rozvaha",VLOOKUP(S161,'radky_R'!A:O,15,0),IF(M161="Výsledovka",VLOOKUP(S161,'radky_V'!A:M,11,0),"-")))</f>
        <v>-</v>
      </c>
      <c r="X161" s="5" t="str">
        <f>IF(I161=0,"-",VLOOKUP(K161,ucty_synt!A:S,19,0))</f>
        <v>-</v>
      </c>
      <c r="Y161" s="6">
        <f t="shared" si="20"/>
        <v>0</v>
      </c>
      <c r="Z161" s="650" t="str">
        <f>IF(data[[#This Row],[uc_synt]]="-","-",VLOOKUP(data[[#This Row],[uc_synt]],ucty_synt!A:T,20,0))</f>
        <v>-</v>
      </c>
      <c r="AA161" s="650" t="str">
        <f>IF(COUNTIF(proc_exc!A:A,data[[#This Row],[ucet]])&gt;1,"chyba v proc_exc!",IF(COUNTIF(proc_exc!A:A,data[[#This Row],[ucet]])=1,VLOOKUP(data[[#This Row],[ucet]],proc_exc!A:E,5,0),data[[#This Row],[proces default]]))</f>
        <v>-</v>
      </c>
    </row>
    <row r="162" spans="2:27" x14ac:dyDescent="0.3">
      <c r="B162" s="36"/>
      <c r="C162" s="32"/>
      <c r="J162" s="15" t="str">
        <f t="shared" si="21"/>
        <v xml:space="preserve"> </v>
      </c>
      <c r="K162" s="3" t="str">
        <f>IF(I162=0,"-",VALUE(LEFT(D162,LEN(D162)-(INDEX!$E$13-3))))</f>
        <v>-</v>
      </c>
      <c r="L162" s="5" t="str">
        <f>IF(I162=0,"-",VLOOKUP(K162,ucty_synt!A:B,2,0))</f>
        <v>-</v>
      </c>
      <c r="M162" s="15" t="str">
        <f>IF(S162="-","-",VLOOKUP(K162,ucty_synt!A:S,3,0))</f>
        <v>-</v>
      </c>
      <c r="N162" s="15" t="str">
        <f>IF(I162=0,"-",IF(M162="Rozvaha",VLOOKUP(S162,'radky_R'!A:O,6,0),IF(M162="Výsledovka",VLOOKUP(S162,'radky_V'!A:M,6,0),"-")))</f>
        <v>-</v>
      </c>
      <c r="O162" s="3" t="str">
        <f>IF(I162=0,"-",IF(COUNTIF(ucty_synt!A:A,K162)=0,"účet n/a",IF(VLOOKUP(K162,ucty_synt!A:S,4,0)=RIGHT($P$1,5),"podle AÚ",IF(VLOOKUP(K162,ucty_synt!A:S,4,0)=RIGHT($Q$1,5),"podle SÚ",IF(SUMIF(ucty_synt!A:A,K162,ucty_synt!E:E)&lt;&gt;0,VLOOKUP(K162,ucty_synt!A:T,5,0),"doplnit")))))</f>
        <v>-</v>
      </c>
      <c r="P162" s="3" t="str">
        <f>IF(I162=0,"-",IF(VLOOKUP(K162,ucty_synt!A:S,4,0)=RIGHT($P$1,5),IF(SUMIFS(I:I,C:C,C162,D:D,D162)&gt;=0,VLOOKUP(K162,ucty_synt!A:E,5,0),VLOOKUP(K162,ucty_synt!A:L,12,0)),"-"))</f>
        <v>-</v>
      </c>
      <c r="Q162" s="3" t="str">
        <f>IF(I162=0,"-",IF(VLOOKUP(K162,ucty_synt!A:S,4,0)=RIGHT($Q$1,5),IF(SUMIFS(I:I,C:C,C162,K:K,K162)&gt;=0,VLOOKUP(K162,ucty_synt!A:E,5,0),VLOOKUP(K162,ucty_synt!A:L,12,0)),"-"))</f>
        <v>-</v>
      </c>
      <c r="R162" s="459"/>
      <c r="S162" s="8" t="str">
        <f t="shared" si="22"/>
        <v>-</v>
      </c>
      <c r="T162" s="15" t="str">
        <f>IF(S162="-","-",IF(M162="Rozvaha",VLOOKUP(S162,'radky_R'!A:O,14,0),IF(M162="Výsledovka",VLOOKUP(S162,'radky_V'!A:M,12,0),"-")))</f>
        <v>-</v>
      </c>
      <c r="U162" s="20" t="str">
        <f>IF(I162=0,"-",IF(M162="Rozvaha",VLOOKUP(S162,'radky_R'!A:O,8,0),IF(M162="Výsledovka",VLOOKUP(S162,'radky_V'!A:M,8,0),"-")))</f>
        <v>-</v>
      </c>
      <c r="V162" s="20" t="str">
        <f>IF(I162=0,"-",IF(M162="Rozvaha",VLOOKUP(S162,'radky_R'!A:O,9,0),IF(M162="Výsledovka",VLOOKUP(S162,'radky_V'!A:M,9,0),"-")))</f>
        <v>-</v>
      </c>
      <c r="W162" s="104" t="str">
        <f>IF(I162=0,"-",IF(M162="Rozvaha",VLOOKUP(S162,'radky_R'!A:O,15,0),IF(M162="Výsledovka",VLOOKUP(S162,'radky_V'!A:M,11,0),"-")))</f>
        <v>-</v>
      </c>
      <c r="X162" s="5" t="str">
        <f>IF(I162=0,"-",VLOOKUP(K162,ucty_synt!A:S,19,0))</f>
        <v>-</v>
      </c>
      <c r="Y162" s="6">
        <f t="shared" si="20"/>
        <v>0</v>
      </c>
      <c r="Z162" s="650" t="str">
        <f>IF(data[[#This Row],[uc_synt]]="-","-",VLOOKUP(data[[#This Row],[uc_synt]],ucty_synt!A:T,20,0))</f>
        <v>-</v>
      </c>
      <c r="AA162" s="650" t="str">
        <f>IF(COUNTIF(proc_exc!A:A,data[[#This Row],[ucet]])&gt;1,"chyba v proc_exc!",IF(COUNTIF(proc_exc!A:A,data[[#This Row],[ucet]])=1,VLOOKUP(data[[#This Row],[ucet]],proc_exc!A:E,5,0),data[[#This Row],[proces default]]))</f>
        <v>-</v>
      </c>
    </row>
    <row r="163" spans="2:27" x14ac:dyDescent="0.3">
      <c r="B163" s="36"/>
      <c r="C163" s="32"/>
      <c r="J163" s="15" t="str">
        <f t="shared" si="21"/>
        <v xml:space="preserve"> </v>
      </c>
      <c r="K163" s="3" t="str">
        <f>IF(I163=0,"-",VALUE(LEFT(D163,LEN(D163)-(INDEX!$E$13-3))))</f>
        <v>-</v>
      </c>
      <c r="L163" s="5" t="str">
        <f>IF(I163=0,"-",VLOOKUP(K163,ucty_synt!A:B,2,0))</f>
        <v>-</v>
      </c>
      <c r="M163" s="15" t="str">
        <f>IF(S163="-","-",VLOOKUP(K163,ucty_synt!A:S,3,0))</f>
        <v>-</v>
      </c>
      <c r="N163" s="15" t="str">
        <f>IF(I163=0,"-",IF(M163="Rozvaha",VLOOKUP(S163,'radky_R'!A:O,6,0),IF(M163="Výsledovka",VLOOKUP(S163,'radky_V'!A:M,6,0),"-")))</f>
        <v>-</v>
      </c>
      <c r="O163" s="3" t="str">
        <f>IF(I163=0,"-",IF(COUNTIF(ucty_synt!A:A,K163)=0,"účet n/a",IF(VLOOKUP(K163,ucty_synt!A:S,4,0)=RIGHT($P$1,5),"podle AÚ",IF(VLOOKUP(K163,ucty_synt!A:S,4,0)=RIGHT($Q$1,5),"podle SÚ",IF(SUMIF(ucty_synt!A:A,K163,ucty_synt!E:E)&lt;&gt;0,VLOOKUP(K163,ucty_synt!A:T,5,0),"doplnit")))))</f>
        <v>-</v>
      </c>
      <c r="P163" s="3" t="str">
        <f>IF(I163=0,"-",IF(VLOOKUP(K163,ucty_synt!A:S,4,0)=RIGHT($P$1,5),IF(SUMIFS(I:I,C:C,C163,D:D,D163)&gt;=0,VLOOKUP(K163,ucty_synt!A:E,5,0),VLOOKUP(K163,ucty_synt!A:L,12,0)),"-"))</f>
        <v>-</v>
      </c>
      <c r="Q163" s="3" t="str">
        <f>IF(I163=0,"-",IF(VLOOKUP(K163,ucty_synt!A:S,4,0)=RIGHT($Q$1,5),IF(SUMIFS(I:I,C:C,C163,K:K,K163)&gt;=0,VLOOKUP(K163,ucty_synt!A:E,5,0),VLOOKUP(K163,ucty_synt!A:L,12,0)),"-"))</f>
        <v>-</v>
      </c>
      <c r="R163" s="459"/>
      <c r="S163" s="8" t="str">
        <f t="shared" si="22"/>
        <v>-</v>
      </c>
      <c r="T163" s="15" t="str">
        <f>IF(S163="-","-",IF(M163="Rozvaha",VLOOKUP(S163,'radky_R'!A:O,14,0),IF(M163="Výsledovka",VLOOKUP(S163,'radky_V'!A:M,12,0),"-")))</f>
        <v>-</v>
      </c>
      <c r="U163" s="20" t="str">
        <f>IF(I163=0,"-",IF(M163="Rozvaha",VLOOKUP(S163,'radky_R'!A:O,8,0),IF(M163="Výsledovka",VLOOKUP(S163,'radky_V'!A:M,8,0),"-")))</f>
        <v>-</v>
      </c>
      <c r="V163" s="20" t="str">
        <f>IF(I163=0,"-",IF(M163="Rozvaha",VLOOKUP(S163,'radky_R'!A:O,9,0),IF(M163="Výsledovka",VLOOKUP(S163,'radky_V'!A:M,9,0),"-")))</f>
        <v>-</v>
      </c>
      <c r="W163" s="104" t="str">
        <f>IF(I163=0,"-",IF(M163="Rozvaha",VLOOKUP(S163,'radky_R'!A:O,15,0),IF(M163="Výsledovka",VLOOKUP(S163,'radky_V'!A:M,11,0),"-")))</f>
        <v>-</v>
      </c>
      <c r="X163" s="5" t="str">
        <f>IF(I163=0,"-",VLOOKUP(K163,ucty_synt!A:S,19,0))</f>
        <v>-</v>
      </c>
      <c r="Y163" s="6">
        <f t="shared" si="20"/>
        <v>0</v>
      </c>
      <c r="Z163" s="650" t="str">
        <f>IF(data[[#This Row],[uc_synt]]="-","-",VLOOKUP(data[[#This Row],[uc_synt]],ucty_synt!A:T,20,0))</f>
        <v>-</v>
      </c>
      <c r="AA163" s="650" t="str">
        <f>IF(COUNTIF(proc_exc!A:A,data[[#This Row],[ucet]])&gt;1,"chyba v proc_exc!",IF(COUNTIF(proc_exc!A:A,data[[#This Row],[ucet]])=1,VLOOKUP(data[[#This Row],[ucet]],proc_exc!A:E,5,0),data[[#This Row],[proces default]]))</f>
        <v>-</v>
      </c>
    </row>
    <row r="164" spans="2:27" x14ac:dyDescent="0.3">
      <c r="B164" s="36"/>
      <c r="C164" s="32"/>
      <c r="J164" s="15" t="str">
        <f t="shared" si="21"/>
        <v xml:space="preserve"> </v>
      </c>
      <c r="K164" s="3" t="str">
        <f>IF(I164=0,"-",VALUE(LEFT(D164,LEN(D164)-(INDEX!$E$13-3))))</f>
        <v>-</v>
      </c>
      <c r="L164" s="5" t="str">
        <f>IF(I164=0,"-",VLOOKUP(K164,ucty_synt!A:B,2,0))</f>
        <v>-</v>
      </c>
      <c r="M164" s="15" t="str">
        <f>IF(S164="-","-",VLOOKUP(K164,ucty_synt!A:S,3,0))</f>
        <v>-</v>
      </c>
      <c r="N164" s="15" t="str">
        <f>IF(I164=0,"-",IF(M164="Rozvaha",VLOOKUP(S164,'radky_R'!A:O,6,0),IF(M164="Výsledovka",VLOOKUP(S164,'radky_V'!A:M,6,0),"-")))</f>
        <v>-</v>
      </c>
      <c r="O164" s="3" t="str">
        <f>IF(I164=0,"-",IF(COUNTIF(ucty_synt!A:A,K164)=0,"účet n/a",IF(VLOOKUP(K164,ucty_synt!A:S,4,0)=RIGHT($P$1,5),"podle AÚ",IF(VLOOKUP(K164,ucty_synt!A:S,4,0)=RIGHT($Q$1,5),"podle SÚ",IF(SUMIF(ucty_synt!A:A,K164,ucty_synt!E:E)&lt;&gt;0,VLOOKUP(K164,ucty_synt!A:T,5,0),"doplnit")))))</f>
        <v>-</v>
      </c>
      <c r="P164" s="3" t="str">
        <f>IF(I164=0,"-",IF(VLOOKUP(K164,ucty_synt!A:S,4,0)=RIGHT($P$1,5),IF(SUMIFS(I:I,C:C,C164,D:D,D164)&gt;=0,VLOOKUP(K164,ucty_synt!A:E,5,0),VLOOKUP(K164,ucty_synt!A:L,12,0)),"-"))</f>
        <v>-</v>
      </c>
      <c r="Q164" s="3" t="str">
        <f>IF(I164=0,"-",IF(VLOOKUP(K164,ucty_synt!A:S,4,0)=RIGHT($Q$1,5),IF(SUMIFS(I:I,C:C,C164,K:K,K164)&gt;=0,VLOOKUP(K164,ucty_synt!A:E,5,0),VLOOKUP(K164,ucty_synt!A:L,12,0)),"-"))</f>
        <v>-</v>
      </c>
      <c r="R164" s="459"/>
      <c r="S164" s="8" t="str">
        <f t="shared" si="22"/>
        <v>-</v>
      </c>
      <c r="T164" s="15" t="str">
        <f>IF(S164="-","-",IF(M164="Rozvaha",VLOOKUP(S164,'radky_R'!A:O,14,0),IF(M164="Výsledovka",VLOOKUP(S164,'radky_V'!A:M,12,0),"-")))</f>
        <v>-</v>
      </c>
      <c r="U164" s="20" t="str">
        <f>IF(I164=0,"-",IF(M164="Rozvaha",VLOOKUP(S164,'radky_R'!A:O,8,0),IF(M164="Výsledovka",VLOOKUP(S164,'radky_V'!A:M,8,0),"-")))</f>
        <v>-</v>
      </c>
      <c r="V164" s="20" t="str">
        <f>IF(I164=0,"-",IF(M164="Rozvaha",VLOOKUP(S164,'radky_R'!A:O,9,0),IF(M164="Výsledovka",VLOOKUP(S164,'radky_V'!A:M,9,0),"-")))</f>
        <v>-</v>
      </c>
      <c r="W164" s="104" t="str">
        <f>IF(I164=0,"-",IF(M164="Rozvaha",VLOOKUP(S164,'radky_R'!A:O,15,0),IF(M164="Výsledovka",VLOOKUP(S164,'radky_V'!A:M,11,0),"-")))</f>
        <v>-</v>
      </c>
      <c r="X164" s="5" t="str">
        <f>IF(I164=0,"-",VLOOKUP(K164,ucty_synt!A:S,19,0))</f>
        <v>-</v>
      </c>
      <c r="Y164" s="6">
        <f t="shared" ref="Y164:Y200" si="23">I164/zaokr</f>
        <v>0</v>
      </c>
      <c r="Z164" s="650" t="str">
        <f>IF(data[[#This Row],[uc_synt]]="-","-",VLOOKUP(data[[#This Row],[uc_synt]],ucty_synt!A:T,20,0))</f>
        <v>-</v>
      </c>
      <c r="AA164" s="650" t="str">
        <f>IF(COUNTIF(proc_exc!A:A,data[[#This Row],[ucet]])&gt;1,"chyba v proc_exc!",IF(COUNTIF(proc_exc!A:A,data[[#This Row],[ucet]])=1,VLOOKUP(data[[#This Row],[ucet]],proc_exc!A:E,5,0),data[[#This Row],[proces default]]))</f>
        <v>-</v>
      </c>
    </row>
    <row r="165" spans="2:27" x14ac:dyDescent="0.3">
      <c r="B165" s="36"/>
      <c r="C165" s="32"/>
      <c r="J165" s="15" t="str">
        <f t="shared" si="21"/>
        <v xml:space="preserve"> </v>
      </c>
      <c r="K165" s="3" t="str">
        <f>IF(I165=0,"-",VALUE(LEFT(D165,LEN(D165)-(INDEX!$E$13-3))))</f>
        <v>-</v>
      </c>
      <c r="L165" s="5" t="str">
        <f>IF(I165=0,"-",VLOOKUP(K165,ucty_synt!A:B,2,0))</f>
        <v>-</v>
      </c>
      <c r="M165" s="15" t="str">
        <f>IF(S165="-","-",VLOOKUP(K165,ucty_synt!A:S,3,0))</f>
        <v>-</v>
      </c>
      <c r="N165" s="15" t="str">
        <f>IF(I165=0,"-",IF(M165="Rozvaha",VLOOKUP(S165,'radky_R'!A:O,6,0),IF(M165="Výsledovka",VLOOKUP(S165,'radky_V'!A:M,6,0),"-")))</f>
        <v>-</v>
      </c>
      <c r="O165" s="3" t="str">
        <f>IF(I165=0,"-",IF(COUNTIF(ucty_synt!A:A,K165)=0,"účet n/a",IF(VLOOKUP(K165,ucty_synt!A:S,4,0)=RIGHT($P$1,5),"podle AÚ",IF(VLOOKUP(K165,ucty_synt!A:S,4,0)=RIGHT($Q$1,5),"podle SÚ",IF(SUMIF(ucty_synt!A:A,K165,ucty_synt!E:E)&lt;&gt;0,VLOOKUP(K165,ucty_synt!A:T,5,0),"doplnit")))))</f>
        <v>-</v>
      </c>
      <c r="P165" s="3" t="str">
        <f>IF(I165=0,"-",IF(VLOOKUP(K165,ucty_synt!A:S,4,0)=RIGHT($P$1,5),IF(SUMIFS(I:I,C:C,C165,D:D,D165)&gt;=0,VLOOKUP(K165,ucty_synt!A:E,5,0),VLOOKUP(K165,ucty_synt!A:L,12,0)),"-"))</f>
        <v>-</v>
      </c>
      <c r="Q165" s="3" t="str">
        <f>IF(I165=0,"-",IF(VLOOKUP(K165,ucty_synt!A:S,4,0)=RIGHT($Q$1,5),IF(SUMIFS(I:I,C:C,C165,K:K,K165)&gt;=0,VLOOKUP(K165,ucty_synt!A:E,5,0),VLOOKUP(K165,ucty_synt!A:L,12,0)),"-"))</f>
        <v>-</v>
      </c>
      <c r="R165" s="459"/>
      <c r="S165" s="8" t="str">
        <f t="shared" si="22"/>
        <v>-</v>
      </c>
      <c r="T165" s="15" t="str">
        <f>IF(S165="-","-",IF(M165="Rozvaha",VLOOKUP(S165,'radky_R'!A:O,14,0),IF(M165="Výsledovka",VLOOKUP(S165,'radky_V'!A:M,12,0),"-")))</f>
        <v>-</v>
      </c>
      <c r="U165" s="20" t="str">
        <f>IF(I165=0,"-",IF(M165="Rozvaha",VLOOKUP(S165,'radky_R'!A:O,8,0),IF(M165="Výsledovka",VLOOKUP(S165,'radky_V'!A:M,8,0),"-")))</f>
        <v>-</v>
      </c>
      <c r="V165" s="20" t="str">
        <f>IF(I165=0,"-",IF(M165="Rozvaha",VLOOKUP(S165,'radky_R'!A:O,9,0),IF(M165="Výsledovka",VLOOKUP(S165,'radky_V'!A:M,9,0),"-")))</f>
        <v>-</v>
      </c>
      <c r="W165" s="104" t="str">
        <f>IF(I165=0,"-",IF(M165="Rozvaha",VLOOKUP(S165,'radky_R'!A:O,15,0),IF(M165="Výsledovka",VLOOKUP(S165,'radky_V'!A:M,11,0),"-")))</f>
        <v>-</v>
      </c>
      <c r="X165" s="5" t="str">
        <f>IF(I165=0,"-",VLOOKUP(K165,ucty_synt!A:S,19,0))</f>
        <v>-</v>
      </c>
      <c r="Y165" s="6">
        <f t="shared" si="23"/>
        <v>0</v>
      </c>
      <c r="Z165" s="650" t="str">
        <f>IF(data[[#This Row],[uc_synt]]="-","-",VLOOKUP(data[[#This Row],[uc_synt]],ucty_synt!A:T,20,0))</f>
        <v>-</v>
      </c>
      <c r="AA165" s="650" t="str">
        <f>IF(COUNTIF(proc_exc!A:A,data[[#This Row],[ucet]])&gt;1,"chyba v proc_exc!",IF(COUNTIF(proc_exc!A:A,data[[#This Row],[ucet]])=1,VLOOKUP(data[[#This Row],[ucet]],proc_exc!A:E,5,0),data[[#This Row],[proces default]]))</f>
        <v>-</v>
      </c>
    </row>
    <row r="166" spans="2:27" x14ac:dyDescent="0.3">
      <c r="B166" s="36"/>
      <c r="C166" s="32"/>
      <c r="J166" s="15" t="str">
        <f t="shared" si="21"/>
        <v xml:space="preserve"> </v>
      </c>
      <c r="K166" s="3" t="str">
        <f>IF(I166=0,"-",VALUE(LEFT(D166,LEN(D166)-(INDEX!$E$13-3))))</f>
        <v>-</v>
      </c>
      <c r="L166" s="5" t="str">
        <f>IF(I166=0,"-",VLOOKUP(K166,ucty_synt!A:B,2,0))</f>
        <v>-</v>
      </c>
      <c r="M166" s="15" t="str">
        <f>IF(S166="-","-",VLOOKUP(K166,ucty_synt!A:S,3,0))</f>
        <v>-</v>
      </c>
      <c r="N166" s="15" t="str">
        <f>IF(I166=0,"-",IF(M166="Rozvaha",VLOOKUP(S166,'radky_R'!A:O,6,0),IF(M166="Výsledovka",VLOOKUP(S166,'radky_V'!A:M,6,0),"-")))</f>
        <v>-</v>
      </c>
      <c r="O166" s="3" t="str">
        <f>IF(I166=0,"-",IF(COUNTIF(ucty_synt!A:A,K166)=0,"účet n/a",IF(VLOOKUP(K166,ucty_synt!A:S,4,0)=RIGHT($P$1,5),"podle AÚ",IF(VLOOKUP(K166,ucty_synt!A:S,4,0)=RIGHT($Q$1,5),"podle SÚ",IF(SUMIF(ucty_synt!A:A,K166,ucty_synt!E:E)&lt;&gt;0,VLOOKUP(K166,ucty_synt!A:T,5,0),"doplnit")))))</f>
        <v>-</v>
      </c>
      <c r="P166" s="3" t="str">
        <f>IF(I166=0,"-",IF(VLOOKUP(K166,ucty_synt!A:S,4,0)=RIGHT($P$1,5),IF(SUMIFS(I:I,C:C,C166,D:D,D166)&gt;=0,VLOOKUP(K166,ucty_synt!A:E,5,0),VLOOKUP(K166,ucty_synt!A:L,12,0)),"-"))</f>
        <v>-</v>
      </c>
      <c r="Q166" s="3" t="str">
        <f>IF(I166=0,"-",IF(VLOOKUP(K166,ucty_synt!A:S,4,0)=RIGHT($Q$1,5),IF(SUMIFS(I:I,C:C,C166,K:K,K166)&gt;=0,VLOOKUP(K166,ucty_synt!A:E,5,0),VLOOKUP(K166,ucty_synt!A:L,12,0)),"-"))</f>
        <v>-</v>
      </c>
      <c r="R166" s="459"/>
      <c r="S166" s="8" t="str">
        <f t="shared" si="22"/>
        <v>-</v>
      </c>
      <c r="T166" s="15" t="str">
        <f>IF(S166="-","-",IF(M166="Rozvaha",VLOOKUP(S166,'radky_R'!A:O,14,0),IF(M166="Výsledovka",VLOOKUP(S166,'radky_V'!A:M,12,0),"-")))</f>
        <v>-</v>
      </c>
      <c r="U166" s="20" t="str">
        <f>IF(I166=0,"-",IF(M166="Rozvaha",VLOOKUP(S166,'radky_R'!A:O,8,0),IF(M166="Výsledovka",VLOOKUP(S166,'radky_V'!A:M,8,0),"-")))</f>
        <v>-</v>
      </c>
      <c r="V166" s="20" t="str">
        <f>IF(I166=0,"-",IF(M166="Rozvaha",VLOOKUP(S166,'radky_R'!A:O,9,0),IF(M166="Výsledovka",VLOOKUP(S166,'radky_V'!A:M,9,0),"-")))</f>
        <v>-</v>
      </c>
      <c r="W166" s="104" t="str">
        <f>IF(I166=0,"-",IF(M166="Rozvaha",VLOOKUP(S166,'radky_R'!A:O,15,0),IF(M166="Výsledovka",VLOOKUP(S166,'radky_V'!A:M,11,0),"-")))</f>
        <v>-</v>
      </c>
      <c r="X166" s="5" t="str">
        <f>IF(I166=0,"-",VLOOKUP(K166,ucty_synt!A:S,19,0))</f>
        <v>-</v>
      </c>
      <c r="Y166" s="6">
        <f t="shared" si="23"/>
        <v>0</v>
      </c>
      <c r="Z166" s="650" t="str">
        <f>IF(data[[#This Row],[uc_synt]]="-","-",VLOOKUP(data[[#This Row],[uc_synt]],ucty_synt!A:T,20,0))</f>
        <v>-</v>
      </c>
      <c r="AA166" s="650" t="str">
        <f>IF(COUNTIF(proc_exc!A:A,data[[#This Row],[ucet]])&gt;1,"chyba v proc_exc!",IF(COUNTIF(proc_exc!A:A,data[[#This Row],[ucet]])=1,VLOOKUP(data[[#This Row],[ucet]],proc_exc!A:E,5,0),data[[#This Row],[proces default]]))</f>
        <v>-</v>
      </c>
    </row>
    <row r="167" spans="2:27" x14ac:dyDescent="0.3">
      <c r="B167" s="36"/>
      <c r="C167" s="32"/>
      <c r="J167" s="15" t="str">
        <f t="shared" si="21"/>
        <v xml:space="preserve"> </v>
      </c>
      <c r="K167" s="3" t="str">
        <f>IF(I167=0,"-",VALUE(LEFT(D167,LEN(D167)-(INDEX!$E$13-3))))</f>
        <v>-</v>
      </c>
      <c r="L167" s="5" t="str">
        <f>IF(I167=0,"-",VLOOKUP(K167,ucty_synt!A:B,2,0))</f>
        <v>-</v>
      </c>
      <c r="M167" s="15" t="str">
        <f>IF(S167="-","-",VLOOKUP(K167,ucty_synt!A:S,3,0))</f>
        <v>-</v>
      </c>
      <c r="N167" s="15" t="str">
        <f>IF(I167=0,"-",IF(M167="Rozvaha",VLOOKUP(S167,'radky_R'!A:O,6,0),IF(M167="Výsledovka",VLOOKUP(S167,'radky_V'!A:M,6,0),"-")))</f>
        <v>-</v>
      </c>
      <c r="O167" s="3" t="str">
        <f>IF(I167=0,"-",IF(COUNTIF(ucty_synt!A:A,K167)=0,"účet n/a",IF(VLOOKUP(K167,ucty_synt!A:S,4,0)=RIGHT($P$1,5),"podle AÚ",IF(VLOOKUP(K167,ucty_synt!A:S,4,0)=RIGHT($Q$1,5),"podle SÚ",IF(SUMIF(ucty_synt!A:A,K167,ucty_synt!E:E)&lt;&gt;0,VLOOKUP(K167,ucty_synt!A:T,5,0),"doplnit")))))</f>
        <v>-</v>
      </c>
      <c r="P167" s="3" t="str">
        <f>IF(I167=0,"-",IF(VLOOKUP(K167,ucty_synt!A:S,4,0)=RIGHT($P$1,5),IF(SUMIFS(I:I,C:C,C167,D:D,D167)&gt;=0,VLOOKUP(K167,ucty_synt!A:E,5,0),VLOOKUP(K167,ucty_synt!A:L,12,0)),"-"))</f>
        <v>-</v>
      </c>
      <c r="Q167" s="3" t="str">
        <f>IF(I167=0,"-",IF(VLOOKUP(K167,ucty_synt!A:S,4,0)=RIGHT($Q$1,5),IF(SUMIFS(I:I,C:C,C167,K:K,K167)&gt;=0,VLOOKUP(K167,ucty_synt!A:E,5,0),VLOOKUP(K167,ucty_synt!A:L,12,0)),"-"))</f>
        <v>-</v>
      </c>
      <c r="R167" s="459"/>
      <c r="S167" s="8" t="str">
        <f t="shared" si="22"/>
        <v>-</v>
      </c>
      <c r="T167" s="15" t="str">
        <f>IF(S167="-","-",IF(M167="Rozvaha",VLOOKUP(S167,'radky_R'!A:O,14,0),IF(M167="Výsledovka",VLOOKUP(S167,'radky_V'!A:M,12,0),"-")))</f>
        <v>-</v>
      </c>
      <c r="U167" s="20" t="str">
        <f>IF(I167=0,"-",IF(M167="Rozvaha",VLOOKUP(S167,'radky_R'!A:O,8,0),IF(M167="Výsledovka",VLOOKUP(S167,'radky_V'!A:M,8,0),"-")))</f>
        <v>-</v>
      </c>
      <c r="V167" s="20" t="str">
        <f>IF(I167=0,"-",IF(M167="Rozvaha",VLOOKUP(S167,'radky_R'!A:O,9,0),IF(M167="Výsledovka",VLOOKUP(S167,'radky_V'!A:M,9,0),"-")))</f>
        <v>-</v>
      </c>
      <c r="W167" s="104" t="str">
        <f>IF(I167=0,"-",IF(M167="Rozvaha",VLOOKUP(S167,'radky_R'!A:O,15,0),IF(M167="Výsledovka",VLOOKUP(S167,'radky_V'!A:M,11,0),"-")))</f>
        <v>-</v>
      </c>
      <c r="X167" s="5" t="str">
        <f>IF(I167=0,"-",VLOOKUP(K167,ucty_synt!A:S,19,0))</f>
        <v>-</v>
      </c>
      <c r="Y167" s="6">
        <f t="shared" si="23"/>
        <v>0</v>
      </c>
      <c r="Z167" s="650" t="str">
        <f>IF(data[[#This Row],[uc_synt]]="-","-",VLOOKUP(data[[#This Row],[uc_synt]],ucty_synt!A:T,20,0))</f>
        <v>-</v>
      </c>
      <c r="AA167" s="650" t="str">
        <f>IF(COUNTIF(proc_exc!A:A,data[[#This Row],[ucet]])&gt;1,"chyba v proc_exc!",IF(COUNTIF(proc_exc!A:A,data[[#This Row],[ucet]])=1,VLOOKUP(data[[#This Row],[ucet]],proc_exc!A:E,5,0),data[[#This Row],[proces default]]))</f>
        <v>-</v>
      </c>
    </row>
    <row r="168" spans="2:27" x14ac:dyDescent="0.3">
      <c r="B168" s="36"/>
      <c r="C168" s="32"/>
      <c r="J168" s="15" t="str">
        <f t="shared" ref="J168:J194" si="24">CONCATENATE(D168," ",E168)</f>
        <v xml:space="preserve"> </v>
      </c>
      <c r="K168" s="3" t="str">
        <f>IF(I168=0,"-",VALUE(LEFT(D168,LEN(D168)-(INDEX!$E$13-3))))</f>
        <v>-</v>
      </c>
      <c r="L168" s="5" t="str">
        <f>IF(I168=0,"-",VLOOKUP(K168,ucty_synt!A:B,2,0))</f>
        <v>-</v>
      </c>
      <c r="M168" s="15" t="str">
        <f>IF(S168="-","-",VLOOKUP(K168,ucty_synt!A:S,3,0))</f>
        <v>-</v>
      </c>
      <c r="N168" s="15" t="str">
        <f>IF(I168=0,"-",IF(M168="Rozvaha",VLOOKUP(S168,'radky_R'!A:O,6,0),IF(M168="Výsledovka",VLOOKUP(S168,'radky_V'!A:M,6,0),"-")))</f>
        <v>-</v>
      </c>
      <c r="O168" s="3" t="str">
        <f>IF(I168=0,"-",IF(COUNTIF(ucty_synt!A:A,K168)=0,"účet n/a",IF(VLOOKUP(K168,ucty_synt!A:S,4,0)=RIGHT($P$1,5),"podle AÚ",IF(VLOOKUP(K168,ucty_synt!A:S,4,0)=RIGHT($Q$1,5),"podle SÚ",IF(SUMIF(ucty_synt!A:A,K168,ucty_synt!E:E)&lt;&gt;0,VLOOKUP(K168,ucty_synt!A:T,5,0),"doplnit")))))</f>
        <v>-</v>
      </c>
      <c r="P168" s="3" t="str">
        <f>IF(I168=0,"-",IF(VLOOKUP(K168,ucty_synt!A:S,4,0)=RIGHT($P$1,5),IF(SUMIFS(I:I,C:C,C168,D:D,D168)&gt;=0,VLOOKUP(K168,ucty_synt!A:E,5,0),VLOOKUP(K168,ucty_synt!A:L,12,0)),"-"))</f>
        <v>-</v>
      </c>
      <c r="Q168" s="3" t="str">
        <f>IF(I168=0,"-",IF(VLOOKUP(K168,ucty_synt!A:S,4,0)=RIGHT($Q$1,5),IF(SUMIFS(I:I,C:C,C168,K:K,K168)&gt;=0,VLOOKUP(K168,ucty_synt!A:E,5,0),VLOOKUP(K168,ucty_synt!A:L,12,0)),"-"))</f>
        <v>-</v>
      </c>
      <c r="R168" s="459"/>
      <c r="S168" s="8" t="str">
        <f t="shared" ref="S168:S194" si="25">IF(ISNUMBER(R168),R168,IF(ISNUMBER(Q168),Q168,IF(ISNUMBER(P168),P168,IF(ISNUMBER(O168),O168,"-"))))</f>
        <v>-</v>
      </c>
      <c r="T168" s="15" t="str">
        <f>IF(S168="-","-",IF(M168="Rozvaha",VLOOKUP(S168,'radky_R'!A:O,14,0),IF(M168="Výsledovka",VLOOKUP(S168,'radky_V'!A:M,12,0),"-")))</f>
        <v>-</v>
      </c>
      <c r="U168" s="20" t="str">
        <f>IF(I168=0,"-",IF(M168="Rozvaha",VLOOKUP(S168,'radky_R'!A:O,8,0),IF(M168="Výsledovka",VLOOKUP(S168,'radky_V'!A:M,8,0),"-")))</f>
        <v>-</v>
      </c>
      <c r="V168" s="20" t="str">
        <f>IF(I168=0,"-",IF(M168="Rozvaha",VLOOKUP(S168,'radky_R'!A:O,9,0),IF(M168="Výsledovka",VLOOKUP(S168,'radky_V'!A:M,9,0),"-")))</f>
        <v>-</v>
      </c>
      <c r="W168" s="104" t="str">
        <f>IF(I168=0,"-",IF(M168="Rozvaha",VLOOKUP(S168,'radky_R'!A:O,15,0),IF(M168="Výsledovka",VLOOKUP(S168,'radky_V'!A:M,11,0),"-")))</f>
        <v>-</v>
      </c>
      <c r="X168" s="5" t="str">
        <f>IF(I168=0,"-",VLOOKUP(K168,ucty_synt!A:S,19,0))</f>
        <v>-</v>
      </c>
      <c r="Y168" s="6">
        <f t="shared" si="23"/>
        <v>0</v>
      </c>
      <c r="Z168" s="650" t="str">
        <f>IF(data[[#This Row],[uc_synt]]="-","-",VLOOKUP(data[[#This Row],[uc_synt]],ucty_synt!A:T,20,0))</f>
        <v>-</v>
      </c>
      <c r="AA168" s="650" t="str">
        <f>IF(COUNTIF(proc_exc!A:A,data[[#This Row],[ucet]])&gt;1,"chyba v proc_exc!",IF(COUNTIF(proc_exc!A:A,data[[#This Row],[ucet]])=1,VLOOKUP(data[[#This Row],[ucet]],proc_exc!A:E,5,0),data[[#This Row],[proces default]]))</f>
        <v>-</v>
      </c>
    </row>
    <row r="169" spans="2:27" x14ac:dyDescent="0.3">
      <c r="B169" s="36"/>
      <c r="C169" s="32"/>
      <c r="J169" s="15" t="str">
        <f t="shared" si="24"/>
        <v xml:space="preserve"> </v>
      </c>
      <c r="K169" s="3" t="str">
        <f>IF(I169=0,"-",VALUE(LEFT(D169,LEN(D169)-(INDEX!$E$13-3))))</f>
        <v>-</v>
      </c>
      <c r="L169" s="5" t="str">
        <f>IF(I169=0,"-",VLOOKUP(K169,ucty_synt!A:B,2,0))</f>
        <v>-</v>
      </c>
      <c r="M169" s="15" t="str">
        <f>IF(S169="-","-",VLOOKUP(K169,ucty_synt!A:S,3,0))</f>
        <v>-</v>
      </c>
      <c r="N169" s="15" t="str">
        <f>IF(I169=0,"-",IF(M169="Rozvaha",VLOOKUP(S169,'radky_R'!A:O,6,0),IF(M169="Výsledovka",VLOOKUP(S169,'radky_V'!A:M,6,0),"-")))</f>
        <v>-</v>
      </c>
      <c r="O169" s="3" t="str">
        <f>IF(I169=0,"-",IF(COUNTIF(ucty_synt!A:A,K169)=0,"účet n/a",IF(VLOOKUP(K169,ucty_synt!A:S,4,0)=RIGHT($P$1,5),"podle AÚ",IF(VLOOKUP(K169,ucty_synt!A:S,4,0)=RIGHT($Q$1,5),"podle SÚ",IF(SUMIF(ucty_synt!A:A,K169,ucty_synt!E:E)&lt;&gt;0,VLOOKUP(K169,ucty_synt!A:T,5,0),"doplnit")))))</f>
        <v>-</v>
      </c>
      <c r="P169" s="3" t="str">
        <f>IF(I169=0,"-",IF(VLOOKUP(K169,ucty_synt!A:S,4,0)=RIGHT($P$1,5),IF(SUMIFS(I:I,C:C,C169,D:D,D169)&gt;=0,VLOOKUP(K169,ucty_synt!A:E,5,0),VLOOKUP(K169,ucty_synt!A:L,12,0)),"-"))</f>
        <v>-</v>
      </c>
      <c r="Q169" s="3" t="str">
        <f>IF(I169=0,"-",IF(VLOOKUP(K169,ucty_synt!A:S,4,0)=RIGHT($Q$1,5),IF(SUMIFS(I:I,C:C,C169,K:K,K169)&gt;=0,VLOOKUP(K169,ucty_synt!A:E,5,0),VLOOKUP(K169,ucty_synt!A:L,12,0)),"-"))</f>
        <v>-</v>
      </c>
      <c r="R169" s="459"/>
      <c r="S169" s="8" t="str">
        <f t="shared" si="25"/>
        <v>-</v>
      </c>
      <c r="T169" s="15" t="str">
        <f>IF(S169="-","-",IF(M169="Rozvaha",VLOOKUP(S169,'radky_R'!A:O,14,0),IF(M169="Výsledovka",VLOOKUP(S169,'radky_V'!A:M,12,0),"-")))</f>
        <v>-</v>
      </c>
      <c r="U169" s="20" t="str">
        <f>IF(I169=0,"-",IF(M169="Rozvaha",VLOOKUP(S169,'radky_R'!A:O,8,0),IF(M169="Výsledovka",VLOOKUP(S169,'radky_V'!A:M,8,0),"-")))</f>
        <v>-</v>
      </c>
      <c r="V169" s="20" t="str">
        <f>IF(I169=0,"-",IF(M169="Rozvaha",VLOOKUP(S169,'radky_R'!A:O,9,0),IF(M169="Výsledovka",VLOOKUP(S169,'radky_V'!A:M,9,0),"-")))</f>
        <v>-</v>
      </c>
      <c r="W169" s="104" t="str">
        <f>IF(I169=0,"-",IF(M169="Rozvaha",VLOOKUP(S169,'radky_R'!A:O,15,0),IF(M169="Výsledovka",VLOOKUP(S169,'radky_V'!A:M,11,0),"-")))</f>
        <v>-</v>
      </c>
      <c r="X169" s="5" t="str">
        <f>IF(I169=0,"-",VLOOKUP(K169,ucty_synt!A:S,19,0))</f>
        <v>-</v>
      </c>
      <c r="Y169" s="6">
        <f t="shared" si="23"/>
        <v>0</v>
      </c>
      <c r="Z169" s="650" t="str">
        <f>IF(data[[#This Row],[uc_synt]]="-","-",VLOOKUP(data[[#This Row],[uc_synt]],ucty_synt!A:T,20,0))</f>
        <v>-</v>
      </c>
      <c r="AA169" s="650" t="str">
        <f>IF(COUNTIF(proc_exc!A:A,data[[#This Row],[ucet]])&gt;1,"chyba v proc_exc!",IF(COUNTIF(proc_exc!A:A,data[[#This Row],[ucet]])=1,VLOOKUP(data[[#This Row],[ucet]],proc_exc!A:E,5,0),data[[#This Row],[proces default]]))</f>
        <v>-</v>
      </c>
    </row>
    <row r="170" spans="2:27" x14ac:dyDescent="0.3">
      <c r="B170" s="36"/>
      <c r="C170" s="32"/>
      <c r="J170" s="15" t="str">
        <f t="shared" si="24"/>
        <v xml:space="preserve"> </v>
      </c>
      <c r="K170" s="3" t="str">
        <f>IF(I170=0,"-",VALUE(LEFT(D170,LEN(D170)-(INDEX!$E$13-3))))</f>
        <v>-</v>
      </c>
      <c r="L170" s="5" t="str">
        <f>IF(I170=0,"-",VLOOKUP(K170,ucty_synt!A:B,2,0))</f>
        <v>-</v>
      </c>
      <c r="M170" s="15" t="str">
        <f>IF(S170="-","-",VLOOKUP(K170,ucty_synt!A:S,3,0))</f>
        <v>-</v>
      </c>
      <c r="N170" s="15" t="str">
        <f>IF(I170=0,"-",IF(M170="Rozvaha",VLOOKUP(S170,'radky_R'!A:O,6,0),IF(M170="Výsledovka",VLOOKUP(S170,'radky_V'!A:M,6,0),"-")))</f>
        <v>-</v>
      </c>
      <c r="O170" s="3" t="str">
        <f>IF(I170=0,"-",IF(COUNTIF(ucty_synt!A:A,K170)=0,"účet n/a",IF(VLOOKUP(K170,ucty_synt!A:S,4,0)=RIGHT($P$1,5),"podle AÚ",IF(VLOOKUP(K170,ucty_synt!A:S,4,0)=RIGHT($Q$1,5),"podle SÚ",IF(SUMIF(ucty_synt!A:A,K170,ucty_synt!E:E)&lt;&gt;0,VLOOKUP(K170,ucty_synt!A:T,5,0),"doplnit")))))</f>
        <v>-</v>
      </c>
      <c r="P170" s="3" t="str">
        <f>IF(I170=0,"-",IF(VLOOKUP(K170,ucty_synt!A:S,4,0)=RIGHT($P$1,5),IF(SUMIFS(I:I,C:C,C170,D:D,D170)&gt;=0,VLOOKUP(K170,ucty_synt!A:E,5,0),VLOOKUP(K170,ucty_synt!A:L,12,0)),"-"))</f>
        <v>-</v>
      </c>
      <c r="Q170" s="3" t="str">
        <f>IF(I170=0,"-",IF(VLOOKUP(K170,ucty_synt!A:S,4,0)=RIGHT($Q$1,5),IF(SUMIFS(I:I,C:C,C170,K:K,K170)&gt;=0,VLOOKUP(K170,ucty_synt!A:E,5,0),VLOOKUP(K170,ucty_synt!A:L,12,0)),"-"))</f>
        <v>-</v>
      </c>
      <c r="R170" s="459"/>
      <c r="S170" s="8" t="str">
        <f t="shared" si="25"/>
        <v>-</v>
      </c>
      <c r="T170" s="15" t="str">
        <f>IF(S170="-","-",IF(M170="Rozvaha",VLOOKUP(S170,'radky_R'!A:O,14,0),IF(M170="Výsledovka",VLOOKUP(S170,'radky_V'!A:M,12,0),"-")))</f>
        <v>-</v>
      </c>
      <c r="U170" s="20" t="str">
        <f>IF(I170=0,"-",IF(M170="Rozvaha",VLOOKUP(S170,'radky_R'!A:O,8,0),IF(M170="Výsledovka",VLOOKUP(S170,'radky_V'!A:M,8,0),"-")))</f>
        <v>-</v>
      </c>
      <c r="V170" s="20" t="str">
        <f>IF(I170=0,"-",IF(M170="Rozvaha",VLOOKUP(S170,'radky_R'!A:O,9,0),IF(M170="Výsledovka",VLOOKUP(S170,'radky_V'!A:M,9,0),"-")))</f>
        <v>-</v>
      </c>
      <c r="W170" s="104" t="str">
        <f>IF(I170=0,"-",IF(M170="Rozvaha",VLOOKUP(S170,'radky_R'!A:O,15,0),IF(M170="Výsledovka",VLOOKUP(S170,'radky_V'!A:M,11,0),"-")))</f>
        <v>-</v>
      </c>
      <c r="X170" s="5" t="str">
        <f>IF(I170=0,"-",VLOOKUP(K170,ucty_synt!A:S,19,0))</f>
        <v>-</v>
      </c>
      <c r="Y170" s="6">
        <f t="shared" si="23"/>
        <v>0</v>
      </c>
      <c r="Z170" s="650" t="str">
        <f>IF(data[[#This Row],[uc_synt]]="-","-",VLOOKUP(data[[#This Row],[uc_synt]],ucty_synt!A:T,20,0))</f>
        <v>-</v>
      </c>
      <c r="AA170" s="650" t="str">
        <f>IF(COUNTIF(proc_exc!A:A,data[[#This Row],[ucet]])&gt;1,"chyba v proc_exc!",IF(COUNTIF(proc_exc!A:A,data[[#This Row],[ucet]])=1,VLOOKUP(data[[#This Row],[ucet]],proc_exc!A:E,5,0),data[[#This Row],[proces default]]))</f>
        <v>-</v>
      </c>
    </row>
    <row r="171" spans="2:27" x14ac:dyDescent="0.3">
      <c r="B171" s="36"/>
      <c r="C171" s="32"/>
      <c r="J171" s="15" t="str">
        <f t="shared" si="24"/>
        <v xml:space="preserve"> </v>
      </c>
      <c r="K171" s="3" t="str">
        <f>IF(I171=0,"-",VALUE(LEFT(D171,LEN(D171)-(INDEX!$E$13-3))))</f>
        <v>-</v>
      </c>
      <c r="L171" s="5" t="str">
        <f>IF(I171=0,"-",VLOOKUP(K171,ucty_synt!A:B,2,0))</f>
        <v>-</v>
      </c>
      <c r="M171" s="15" t="str">
        <f>IF(S171="-","-",VLOOKUP(K171,ucty_synt!A:S,3,0))</f>
        <v>-</v>
      </c>
      <c r="N171" s="15" t="str">
        <f>IF(I171=0,"-",IF(M171="Rozvaha",VLOOKUP(S171,'radky_R'!A:O,6,0),IF(M171="Výsledovka",VLOOKUP(S171,'radky_V'!A:M,6,0),"-")))</f>
        <v>-</v>
      </c>
      <c r="O171" s="3" t="str">
        <f>IF(I171=0,"-",IF(COUNTIF(ucty_synt!A:A,K171)=0,"účet n/a",IF(VLOOKUP(K171,ucty_synt!A:S,4,0)=RIGHT($P$1,5),"podle AÚ",IF(VLOOKUP(K171,ucty_synt!A:S,4,0)=RIGHT($Q$1,5),"podle SÚ",IF(SUMIF(ucty_synt!A:A,K171,ucty_synt!E:E)&lt;&gt;0,VLOOKUP(K171,ucty_synt!A:T,5,0),"doplnit")))))</f>
        <v>-</v>
      </c>
      <c r="P171" s="3" t="str">
        <f>IF(I171=0,"-",IF(VLOOKUP(K171,ucty_synt!A:S,4,0)=RIGHT($P$1,5),IF(SUMIFS(I:I,C:C,C171,D:D,D171)&gt;=0,VLOOKUP(K171,ucty_synt!A:E,5,0),VLOOKUP(K171,ucty_synt!A:L,12,0)),"-"))</f>
        <v>-</v>
      </c>
      <c r="Q171" s="3" t="str">
        <f>IF(I171=0,"-",IF(VLOOKUP(K171,ucty_synt!A:S,4,0)=RIGHT($Q$1,5),IF(SUMIFS(I:I,C:C,C171,K:K,K171)&gt;=0,VLOOKUP(K171,ucty_synt!A:E,5,0),VLOOKUP(K171,ucty_synt!A:L,12,0)),"-"))</f>
        <v>-</v>
      </c>
      <c r="R171" s="459"/>
      <c r="S171" s="8" t="str">
        <f t="shared" si="25"/>
        <v>-</v>
      </c>
      <c r="T171" s="15" t="str">
        <f>IF(S171="-","-",IF(M171="Rozvaha",VLOOKUP(S171,'radky_R'!A:O,14,0),IF(M171="Výsledovka",VLOOKUP(S171,'radky_V'!A:M,12,0),"-")))</f>
        <v>-</v>
      </c>
      <c r="U171" s="20" t="str">
        <f>IF(I171=0,"-",IF(M171="Rozvaha",VLOOKUP(S171,'radky_R'!A:O,8,0),IF(M171="Výsledovka",VLOOKUP(S171,'radky_V'!A:M,8,0),"-")))</f>
        <v>-</v>
      </c>
      <c r="V171" s="20" t="str">
        <f>IF(I171=0,"-",IF(M171="Rozvaha",VLOOKUP(S171,'radky_R'!A:O,9,0),IF(M171="Výsledovka",VLOOKUP(S171,'radky_V'!A:M,9,0),"-")))</f>
        <v>-</v>
      </c>
      <c r="W171" s="104" t="str">
        <f>IF(I171=0,"-",IF(M171="Rozvaha",VLOOKUP(S171,'radky_R'!A:O,15,0),IF(M171="Výsledovka",VLOOKUP(S171,'radky_V'!A:M,11,0),"-")))</f>
        <v>-</v>
      </c>
      <c r="X171" s="5" t="str">
        <f>IF(I171=0,"-",VLOOKUP(K171,ucty_synt!A:S,19,0))</f>
        <v>-</v>
      </c>
      <c r="Y171" s="6">
        <f t="shared" si="23"/>
        <v>0</v>
      </c>
      <c r="Z171" s="650" t="str">
        <f>IF(data[[#This Row],[uc_synt]]="-","-",VLOOKUP(data[[#This Row],[uc_synt]],ucty_synt!A:T,20,0))</f>
        <v>-</v>
      </c>
      <c r="AA171" s="650" t="str">
        <f>IF(COUNTIF(proc_exc!A:A,data[[#This Row],[ucet]])&gt;1,"chyba v proc_exc!",IF(COUNTIF(proc_exc!A:A,data[[#This Row],[ucet]])=1,VLOOKUP(data[[#This Row],[ucet]],proc_exc!A:E,5,0),data[[#This Row],[proces default]]))</f>
        <v>-</v>
      </c>
    </row>
    <row r="172" spans="2:27" x14ac:dyDescent="0.3">
      <c r="B172" s="36"/>
      <c r="C172" s="32"/>
      <c r="J172" s="15" t="str">
        <f t="shared" si="24"/>
        <v xml:space="preserve"> </v>
      </c>
      <c r="K172" s="3" t="str">
        <f>IF(I172=0,"-",VALUE(LEFT(D172,LEN(D172)-(INDEX!$E$13-3))))</f>
        <v>-</v>
      </c>
      <c r="L172" s="5" t="str">
        <f>IF(I172=0,"-",VLOOKUP(K172,ucty_synt!A:B,2,0))</f>
        <v>-</v>
      </c>
      <c r="M172" s="15" t="str">
        <f>IF(S172="-","-",VLOOKUP(K172,ucty_synt!A:S,3,0))</f>
        <v>-</v>
      </c>
      <c r="N172" s="15" t="str">
        <f>IF(I172=0,"-",IF(M172="Rozvaha",VLOOKUP(S172,'radky_R'!A:O,6,0),IF(M172="Výsledovka",VLOOKUP(S172,'radky_V'!A:M,6,0),"-")))</f>
        <v>-</v>
      </c>
      <c r="O172" s="3" t="str">
        <f>IF(I172=0,"-",IF(COUNTIF(ucty_synt!A:A,K172)=0,"účet n/a",IF(VLOOKUP(K172,ucty_synt!A:S,4,0)=RIGHT($P$1,5),"podle AÚ",IF(VLOOKUP(K172,ucty_synt!A:S,4,0)=RIGHT($Q$1,5),"podle SÚ",IF(SUMIF(ucty_synt!A:A,K172,ucty_synt!E:E)&lt;&gt;0,VLOOKUP(K172,ucty_synt!A:T,5,0),"doplnit")))))</f>
        <v>-</v>
      </c>
      <c r="P172" s="3" t="str">
        <f>IF(I172=0,"-",IF(VLOOKUP(K172,ucty_synt!A:S,4,0)=RIGHT($P$1,5),IF(SUMIFS(I:I,C:C,C172,D:D,D172)&gt;=0,VLOOKUP(K172,ucty_synt!A:E,5,0),VLOOKUP(K172,ucty_synt!A:L,12,0)),"-"))</f>
        <v>-</v>
      </c>
      <c r="Q172" s="3" t="str">
        <f>IF(I172=0,"-",IF(VLOOKUP(K172,ucty_synt!A:S,4,0)=RIGHT($Q$1,5),IF(SUMIFS(I:I,C:C,C172,K:K,K172)&gt;=0,VLOOKUP(K172,ucty_synt!A:E,5,0),VLOOKUP(K172,ucty_synt!A:L,12,0)),"-"))</f>
        <v>-</v>
      </c>
      <c r="R172" s="459"/>
      <c r="S172" s="8" t="str">
        <f t="shared" si="25"/>
        <v>-</v>
      </c>
      <c r="T172" s="15" t="str">
        <f>IF(S172="-","-",IF(M172="Rozvaha",VLOOKUP(S172,'radky_R'!A:O,14,0),IF(M172="Výsledovka",VLOOKUP(S172,'radky_V'!A:M,12,0),"-")))</f>
        <v>-</v>
      </c>
      <c r="U172" s="20" t="str">
        <f>IF(I172=0,"-",IF(M172="Rozvaha",VLOOKUP(S172,'radky_R'!A:O,8,0),IF(M172="Výsledovka",VLOOKUP(S172,'radky_V'!A:M,8,0),"-")))</f>
        <v>-</v>
      </c>
      <c r="V172" s="20" t="str">
        <f>IF(I172=0,"-",IF(M172="Rozvaha",VLOOKUP(S172,'radky_R'!A:O,9,0),IF(M172="Výsledovka",VLOOKUP(S172,'radky_V'!A:M,9,0),"-")))</f>
        <v>-</v>
      </c>
      <c r="W172" s="104" t="str">
        <f>IF(I172=0,"-",IF(M172="Rozvaha",VLOOKUP(S172,'radky_R'!A:O,15,0),IF(M172="Výsledovka",VLOOKUP(S172,'radky_V'!A:M,11,0),"-")))</f>
        <v>-</v>
      </c>
      <c r="X172" s="5" t="str">
        <f>IF(I172=0,"-",VLOOKUP(K172,ucty_synt!A:S,19,0))</f>
        <v>-</v>
      </c>
      <c r="Y172" s="6">
        <f t="shared" si="23"/>
        <v>0</v>
      </c>
      <c r="Z172" s="650" t="str">
        <f>IF(data[[#This Row],[uc_synt]]="-","-",VLOOKUP(data[[#This Row],[uc_synt]],ucty_synt!A:T,20,0))</f>
        <v>-</v>
      </c>
      <c r="AA172" s="650" t="str">
        <f>IF(COUNTIF(proc_exc!A:A,data[[#This Row],[ucet]])&gt;1,"chyba v proc_exc!",IF(COUNTIF(proc_exc!A:A,data[[#This Row],[ucet]])=1,VLOOKUP(data[[#This Row],[ucet]],proc_exc!A:E,5,0),data[[#This Row],[proces default]]))</f>
        <v>-</v>
      </c>
    </row>
    <row r="173" spans="2:27" x14ac:dyDescent="0.3">
      <c r="B173" s="36"/>
      <c r="C173" s="32"/>
      <c r="J173" s="15" t="str">
        <f t="shared" si="24"/>
        <v xml:space="preserve"> </v>
      </c>
      <c r="K173" s="3" t="str">
        <f>IF(I173=0,"-",VALUE(LEFT(D173,LEN(D173)-(INDEX!$E$13-3))))</f>
        <v>-</v>
      </c>
      <c r="L173" s="5" t="str">
        <f>IF(I173=0,"-",VLOOKUP(K173,ucty_synt!A:B,2,0))</f>
        <v>-</v>
      </c>
      <c r="M173" s="15" t="str">
        <f>IF(S173="-","-",VLOOKUP(K173,ucty_synt!A:S,3,0))</f>
        <v>-</v>
      </c>
      <c r="N173" s="15" t="str">
        <f>IF(I173=0,"-",IF(M173="Rozvaha",VLOOKUP(S173,'radky_R'!A:O,6,0),IF(M173="Výsledovka",VLOOKUP(S173,'radky_V'!A:M,6,0),"-")))</f>
        <v>-</v>
      </c>
      <c r="O173" s="3" t="str">
        <f>IF(I173=0,"-",IF(COUNTIF(ucty_synt!A:A,K173)=0,"účet n/a",IF(VLOOKUP(K173,ucty_synt!A:S,4,0)=RIGHT($P$1,5),"podle AÚ",IF(VLOOKUP(K173,ucty_synt!A:S,4,0)=RIGHT($Q$1,5),"podle SÚ",IF(SUMIF(ucty_synt!A:A,K173,ucty_synt!E:E)&lt;&gt;0,VLOOKUP(K173,ucty_synt!A:T,5,0),"doplnit")))))</f>
        <v>-</v>
      </c>
      <c r="P173" s="3" t="str">
        <f>IF(I173=0,"-",IF(VLOOKUP(K173,ucty_synt!A:S,4,0)=RIGHT($P$1,5),IF(SUMIFS(I:I,C:C,C173,D:D,D173)&gt;=0,VLOOKUP(K173,ucty_synt!A:E,5,0),VLOOKUP(K173,ucty_synt!A:L,12,0)),"-"))</f>
        <v>-</v>
      </c>
      <c r="Q173" s="3" t="str">
        <f>IF(I173=0,"-",IF(VLOOKUP(K173,ucty_synt!A:S,4,0)=RIGHT($Q$1,5),IF(SUMIFS(I:I,C:C,C173,K:K,K173)&gt;=0,VLOOKUP(K173,ucty_synt!A:E,5,0),VLOOKUP(K173,ucty_synt!A:L,12,0)),"-"))</f>
        <v>-</v>
      </c>
      <c r="R173" s="459"/>
      <c r="S173" s="8" t="str">
        <f t="shared" si="25"/>
        <v>-</v>
      </c>
      <c r="T173" s="15" t="str">
        <f>IF(S173="-","-",IF(M173="Rozvaha",VLOOKUP(S173,'radky_R'!A:O,14,0),IF(M173="Výsledovka",VLOOKUP(S173,'radky_V'!A:M,12,0),"-")))</f>
        <v>-</v>
      </c>
      <c r="U173" s="20" t="str">
        <f>IF(I173=0,"-",IF(M173="Rozvaha",VLOOKUP(S173,'radky_R'!A:O,8,0),IF(M173="Výsledovka",VLOOKUP(S173,'radky_V'!A:M,8,0),"-")))</f>
        <v>-</v>
      </c>
      <c r="V173" s="20" t="str">
        <f>IF(I173=0,"-",IF(M173="Rozvaha",VLOOKUP(S173,'radky_R'!A:O,9,0),IF(M173="Výsledovka",VLOOKUP(S173,'radky_V'!A:M,9,0),"-")))</f>
        <v>-</v>
      </c>
      <c r="W173" s="104" t="str">
        <f>IF(I173=0,"-",IF(M173="Rozvaha",VLOOKUP(S173,'radky_R'!A:O,15,0),IF(M173="Výsledovka",VLOOKUP(S173,'radky_V'!A:M,11,0),"-")))</f>
        <v>-</v>
      </c>
      <c r="X173" s="5" t="str">
        <f>IF(I173=0,"-",VLOOKUP(K173,ucty_synt!A:S,19,0))</f>
        <v>-</v>
      </c>
      <c r="Y173" s="6">
        <f t="shared" si="23"/>
        <v>0</v>
      </c>
      <c r="Z173" s="650" t="str">
        <f>IF(data[[#This Row],[uc_synt]]="-","-",VLOOKUP(data[[#This Row],[uc_synt]],ucty_synt!A:T,20,0))</f>
        <v>-</v>
      </c>
      <c r="AA173" s="650" t="str">
        <f>IF(COUNTIF(proc_exc!A:A,data[[#This Row],[ucet]])&gt;1,"chyba v proc_exc!",IF(COUNTIF(proc_exc!A:A,data[[#This Row],[ucet]])=1,VLOOKUP(data[[#This Row],[ucet]],proc_exc!A:E,5,0),data[[#This Row],[proces default]]))</f>
        <v>-</v>
      </c>
    </row>
    <row r="174" spans="2:27" x14ac:dyDescent="0.3">
      <c r="B174" s="36"/>
      <c r="C174" s="32"/>
      <c r="J174" s="15" t="str">
        <f t="shared" si="24"/>
        <v xml:space="preserve"> </v>
      </c>
      <c r="K174" s="3" t="str">
        <f>IF(I174=0,"-",VALUE(LEFT(D174,LEN(D174)-(INDEX!$E$13-3))))</f>
        <v>-</v>
      </c>
      <c r="L174" s="5" t="str">
        <f>IF(I174=0,"-",VLOOKUP(K174,ucty_synt!A:B,2,0))</f>
        <v>-</v>
      </c>
      <c r="M174" s="15" t="str">
        <f>IF(S174="-","-",VLOOKUP(K174,ucty_synt!A:S,3,0))</f>
        <v>-</v>
      </c>
      <c r="N174" s="15" t="str">
        <f>IF(I174=0,"-",IF(M174="Rozvaha",VLOOKUP(S174,'radky_R'!A:O,6,0),IF(M174="Výsledovka",VLOOKUP(S174,'radky_V'!A:M,6,0),"-")))</f>
        <v>-</v>
      </c>
      <c r="O174" s="3" t="str">
        <f>IF(I174=0,"-",IF(COUNTIF(ucty_synt!A:A,K174)=0,"účet n/a",IF(VLOOKUP(K174,ucty_synt!A:S,4,0)=RIGHT($P$1,5),"podle AÚ",IF(VLOOKUP(K174,ucty_synt!A:S,4,0)=RIGHT($Q$1,5),"podle SÚ",IF(SUMIF(ucty_synt!A:A,K174,ucty_synt!E:E)&lt;&gt;0,VLOOKUP(K174,ucty_synt!A:T,5,0),"doplnit")))))</f>
        <v>-</v>
      </c>
      <c r="P174" s="3" t="str">
        <f>IF(I174=0,"-",IF(VLOOKUP(K174,ucty_synt!A:S,4,0)=RIGHT($P$1,5),IF(SUMIFS(I:I,C:C,C174,D:D,D174)&gt;=0,VLOOKUP(K174,ucty_synt!A:E,5,0),VLOOKUP(K174,ucty_synt!A:L,12,0)),"-"))</f>
        <v>-</v>
      </c>
      <c r="Q174" s="3" t="str">
        <f>IF(I174=0,"-",IF(VLOOKUP(K174,ucty_synt!A:S,4,0)=RIGHT($Q$1,5),IF(SUMIFS(I:I,C:C,C174,K:K,K174)&gt;=0,VLOOKUP(K174,ucty_synt!A:E,5,0),VLOOKUP(K174,ucty_synt!A:L,12,0)),"-"))</f>
        <v>-</v>
      </c>
      <c r="R174" s="459"/>
      <c r="S174" s="8" t="str">
        <f t="shared" si="25"/>
        <v>-</v>
      </c>
      <c r="T174" s="15" t="str">
        <f>IF(S174="-","-",IF(M174="Rozvaha",VLOOKUP(S174,'radky_R'!A:O,14,0),IF(M174="Výsledovka",VLOOKUP(S174,'radky_V'!A:M,12,0),"-")))</f>
        <v>-</v>
      </c>
      <c r="U174" s="20" t="str">
        <f>IF(I174=0,"-",IF(M174="Rozvaha",VLOOKUP(S174,'radky_R'!A:O,8,0),IF(M174="Výsledovka",VLOOKUP(S174,'radky_V'!A:M,8,0),"-")))</f>
        <v>-</v>
      </c>
      <c r="V174" s="20" t="str">
        <f>IF(I174=0,"-",IF(M174="Rozvaha",VLOOKUP(S174,'radky_R'!A:O,9,0),IF(M174="Výsledovka",VLOOKUP(S174,'radky_V'!A:M,9,0),"-")))</f>
        <v>-</v>
      </c>
      <c r="W174" s="104" t="str">
        <f>IF(I174=0,"-",IF(M174="Rozvaha",VLOOKUP(S174,'radky_R'!A:O,15,0),IF(M174="Výsledovka",VLOOKUP(S174,'radky_V'!A:M,11,0),"-")))</f>
        <v>-</v>
      </c>
      <c r="X174" s="5" t="str">
        <f>IF(I174=0,"-",VLOOKUP(K174,ucty_synt!A:S,19,0))</f>
        <v>-</v>
      </c>
      <c r="Y174" s="6">
        <f t="shared" si="23"/>
        <v>0</v>
      </c>
      <c r="Z174" s="650" t="str">
        <f>IF(data[[#This Row],[uc_synt]]="-","-",VLOOKUP(data[[#This Row],[uc_synt]],ucty_synt!A:T,20,0))</f>
        <v>-</v>
      </c>
      <c r="AA174" s="650" t="str">
        <f>IF(COUNTIF(proc_exc!A:A,data[[#This Row],[ucet]])&gt;1,"chyba v proc_exc!",IF(COUNTIF(proc_exc!A:A,data[[#This Row],[ucet]])=1,VLOOKUP(data[[#This Row],[ucet]],proc_exc!A:E,5,0),data[[#This Row],[proces default]]))</f>
        <v>-</v>
      </c>
    </row>
    <row r="175" spans="2:27" x14ac:dyDescent="0.3">
      <c r="B175" s="36"/>
      <c r="C175" s="32"/>
      <c r="J175" s="15" t="str">
        <f t="shared" si="24"/>
        <v xml:space="preserve"> </v>
      </c>
      <c r="K175" s="3" t="str">
        <f>IF(I175=0,"-",VALUE(LEFT(D175,LEN(D175)-(INDEX!$E$13-3))))</f>
        <v>-</v>
      </c>
      <c r="L175" s="5" t="str">
        <f>IF(I175=0,"-",VLOOKUP(K175,ucty_synt!A:B,2,0))</f>
        <v>-</v>
      </c>
      <c r="M175" s="15" t="str">
        <f>IF(S175="-","-",VLOOKUP(K175,ucty_synt!A:S,3,0))</f>
        <v>-</v>
      </c>
      <c r="N175" s="15" t="str">
        <f>IF(I175=0,"-",IF(M175="Rozvaha",VLOOKUP(S175,'radky_R'!A:O,6,0),IF(M175="Výsledovka",VLOOKUP(S175,'radky_V'!A:M,6,0),"-")))</f>
        <v>-</v>
      </c>
      <c r="O175" s="3" t="str">
        <f>IF(I175=0,"-",IF(COUNTIF(ucty_synt!A:A,K175)=0,"účet n/a",IF(VLOOKUP(K175,ucty_synt!A:S,4,0)=RIGHT($P$1,5),"podle AÚ",IF(VLOOKUP(K175,ucty_synt!A:S,4,0)=RIGHT($Q$1,5),"podle SÚ",IF(SUMIF(ucty_synt!A:A,K175,ucty_synt!E:E)&lt;&gt;0,VLOOKUP(K175,ucty_synt!A:T,5,0),"doplnit")))))</f>
        <v>-</v>
      </c>
      <c r="P175" s="3" t="str">
        <f>IF(I175=0,"-",IF(VLOOKUP(K175,ucty_synt!A:S,4,0)=RIGHT($P$1,5),IF(SUMIFS(I:I,C:C,C175,D:D,D175)&gt;=0,VLOOKUP(K175,ucty_synt!A:E,5,0),VLOOKUP(K175,ucty_synt!A:L,12,0)),"-"))</f>
        <v>-</v>
      </c>
      <c r="Q175" s="3" t="str">
        <f>IF(I175=0,"-",IF(VLOOKUP(K175,ucty_synt!A:S,4,0)=RIGHT($Q$1,5),IF(SUMIFS(I:I,C:C,C175,K:K,K175)&gt;=0,VLOOKUP(K175,ucty_synt!A:E,5,0),VLOOKUP(K175,ucty_synt!A:L,12,0)),"-"))</f>
        <v>-</v>
      </c>
      <c r="R175" s="459"/>
      <c r="S175" s="8" t="str">
        <f t="shared" si="25"/>
        <v>-</v>
      </c>
      <c r="T175" s="15" t="str">
        <f>IF(S175="-","-",IF(M175="Rozvaha",VLOOKUP(S175,'radky_R'!A:O,14,0),IF(M175="Výsledovka",VLOOKUP(S175,'radky_V'!A:M,12,0),"-")))</f>
        <v>-</v>
      </c>
      <c r="U175" s="20" t="str">
        <f>IF(I175=0,"-",IF(M175="Rozvaha",VLOOKUP(S175,'radky_R'!A:O,8,0),IF(M175="Výsledovka",VLOOKUP(S175,'radky_V'!A:M,8,0),"-")))</f>
        <v>-</v>
      </c>
      <c r="V175" s="20" t="str">
        <f>IF(I175=0,"-",IF(M175="Rozvaha",VLOOKUP(S175,'radky_R'!A:O,9,0),IF(M175="Výsledovka",VLOOKUP(S175,'radky_V'!A:M,9,0),"-")))</f>
        <v>-</v>
      </c>
      <c r="W175" s="104" t="str">
        <f>IF(I175=0,"-",IF(M175="Rozvaha",VLOOKUP(S175,'radky_R'!A:O,15,0),IF(M175="Výsledovka",VLOOKUP(S175,'radky_V'!A:M,11,0),"-")))</f>
        <v>-</v>
      </c>
      <c r="X175" s="5" t="str">
        <f>IF(I175=0,"-",VLOOKUP(K175,ucty_synt!A:S,19,0))</f>
        <v>-</v>
      </c>
      <c r="Y175" s="6">
        <f t="shared" si="23"/>
        <v>0</v>
      </c>
      <c r="Z175" s="650" t="str">
        <f>IF(data[[#This Row],[uc_synt]]="-","-",VLOOKUP(data[[#This Row],[uc_synt]],ucty_synt!A:T,20,0))</f>
        <v>-</v>
      </c>
      <c r="AA175" s="650" t="str">
        <f>IF(COUNTIF(proc_exc!A:A,data[[#This Row],[ucet]])&gt;1,"chyba v proc_exc!",IF(COUNTIF(proc_exc!A:A,data[[#This Row],[ucet]])=1,VLOOKUP(data[[#This Row],[ucet]],proc_exc!A:E,5,0),data[[#This Row],[proces default]]))</f>
        <v>-</v>
      </c>
    </row>
    <row r="176" spans="2:27" x14ac:dyDescent="0.3">
      <c r="B176" s="36"/>
      <c r="C176" s="32"/>
      <c r="J176" s="15" t="str">
        <f t="shared" si="24"/>
        <v xml:space="preserve"> </v>
      </c>
      <c r="K176" s="3" t="str">
        <f>IF(I176=0,"-",VALUE(LEFT(D176,LEN(D176)-(INDEX!$E$13-3))))</f>
        <v>-</v>
      </c>
      <c r="L176" s="5" t="str">
        <f>IF(I176=0,"-",VLOOKUP(K176,ucty_synt!A:B,2,0))</f>
        <v>-</v>
      </c>
      <c r="M176" s="15" t="str">
        <f>IF(S176="-","-",VLOOKUP(K176,ucty_synt!A:S,3,0))</f>
        <v>-</v>
      </c>
      <c r="N176" s="15" t="str">
        <f>IF(I176=0,"-",IF(M176="Rozvaha",VLOOKUP(S176,'radky_R'!A:O,6,0),IF(M176="Výsledovka",VLOOKUP(S176,'radky_V'!A:M,6,0),"-")))</f>
        <v>-</v>
      </c>
      <c r="O176" s="3" t="str">
        <f>IF(I176=0,"-",IF(COUNTIF(ucty_synt!A:A,K176)=0,"účet n/a",IF(VLOOKUP(K176,ucty_synt!A:S,4,0)=RIGHT($P$1,5),"podle AÚ",IF(VLOOKUP(K176,ucty_synt!A:S,4,0)=RIGHT($Q$1,5),"podle SÚ",IF(SUMIF(ucty_synt!A:A,K176,ucty_synt!E:E)&lt;&gt;0,VLOOKUP(K176,ucty_synt!A:T,5,0),"doplnit")))))</f>
        <v>-</v>
      </c>
      <c r="P176" s="3" t="str">
        <f>IF(I176=0,"-",IF(VLOOKUP(K176,ucty_synt!A:S,4,0)=RIGHT($P$1,5),IF(SUMIFS(I:I,C:C,C176,D:D,D176)&gt;=0,VLOOKUP(K176,ucty_synt!A:E,5,0),VLOOKUP(K176,ucty_synt!A:L,12,0)),"-"))</f>
        <v>-</v>
      </c>
      <c r="Q176" s="3" t="str">
        <f>IF(I176=0,"-",IF(VLOOKUP(K176,ucty_synt!A:S,4,0)=RIGHT($Q$1,5),IF(SUMIFS(I:I,C:C,C176,K:K,K176)&gt;=0,VLOOKUP(K176,ucty_synt!A:E,5,0),VLOOKUP(K176,ucty_synt!A:L,12,0)),"-"))</f>
        <v>-</v>
      </c>
      <c r="R176" s="459"/>
      <c r="S176" s="8" t="str">
        <f t="shared" si="25"/>
        <v>-</v>
      </c>
      <c r="T176" s="15" t="str">
        <f>IF(S176="-","-",IF(M176="Rozvaha",VLOOKUP(S176,'radky_R'!A:O,14,0),IF(M176="Výsledovka",VLOOKUP(S176,'radky_V'!A:M,12,0),"-")))</f>
        <v>-</v>
      </c>
      <c r="U176" s="20" t="str">
        <f>IF(I176=0,"-",IF(M176="Rozvaha",VLOOKUP(S176,'radky_R'!A:O,8,0),IF(M176="Výsledovka",VLOOKUP(S176,'radky_V'!A:M,8,0),"-")))</f>
        <v>-</v>
      </c>
      <c r="V176" s="20" t="str">
        <f>IF(I176=0,"-",IF(M176="Rozvaha",VLOOKUP(S176,'radky_R'!A:O,9,0),IF(M176="Výsledovka",VLOOKUP(S176,'radky_V'!A:M,9,0),"-")))</f>
        <v>-</v>
      </c>
      <c r="W176" s="104" t="str">
        <f>IF(I176=0,"-",IF(M176="Rozvaha",VLOOKUP(S176,'radky_R'!A:O,15,0),IF(M176="Výsledovka",VLOOKUP(S176,'radky_V'!A:M,11,0),"-")))</f>
        <v>-</v>
      </c>
      <c r="X176" s="5" t="str">
        <f>IF(I176=0,"-",VLOOKUP(K176,ucty_synt!A:S,19,0))</f>
        <v>-</v>
      </c>
      <c r="Y176" s="6">
        <f t="shared" si="23"/>
        <v>0</v>
      </c>
      <c r="Z176" s="650" t="str">
        <f>IF(data[[#This Row],[uc_synt]]="-","-",VLOOKUP(data[[#This Row],[uc_synt]],ucty_synt!A:T,20,0))</f>
        <v>-</v>
      </c>
      <c r="AA176" s="650" t="str">
        <f>IF(COUNTIF(proc_exc!A:A,data[[#This Row],[ucet]])&gt;1,"chyba v proc_exc!",IF(COUNTIF(proc_exc!A:A,data[[#This Row],[ucet]])=1,VLOOKUP(data[[#This Row],[ucet]],proc_exc!A:E,5,0),data[[#This Row],[proces default]]))</f>
        <v>-</v>
      </c>
    </row>
    <row r="177" spans="2:27" x14ac:dyDescent="0.3">
      <c r="B177" s="36"/>
      <c r="C177" s="32"/>
      <c r="J177" s="15" t="str">
        <f t="shared" si="24"/>
        <v xml:space="preserve"> </v>
      </c>
      <c r="K177" s="3" t="str">
        <f>IF(I177=0,"-",VALUE(LEFT(D177,LEN(D177)-(INDEX!$E$13-3))))</f>
        <v>-</v>
      </c>
      <c r="L177" s="5" t="str">
        <f>IF(I177=0,"-",VLOOKUP(K177,ucty_synt!A:B,2,0))</f>
        <v>-</v>
      </c>
      <c r="M177" s="15" t="str">
        <f>IF(S177="-","-",VLOOKUP(K177,ucty_synt!A:S,3,0))</f>
        <v>-</v>
      </c>
      <c r="N177" s="15" t="str">
        <f>IF(I177=0,"-",IF(M177="Rozvaha",VLOOKUP(S177,'radky_R'!A:O,6,0),IF(M177="Výsledovka",VLOOKUP(S177,'radky_V'!A:M,6,0),"-")))</f>
        <v>-</v>
      </c>
      <c r="O177" s="3" t="str">
        <f>IF(I177=0,"-",IF(COUNTIF(ucty_synt!A:A,K177)=0,"účet n/a",IF(VLOOKUP(K177,ucty_synt!A:S,4,0)=RIGHT($P$1,5),"podle AÚ",IF(VLOOKUP(K177,ucty_synt!A:S,4,0)=RIGHT($Q$1,5),"podle SÚ",IF(SUMIF(ucty_synt!A:A,K177,ucty_synt!E:E)&lt;&gt;0,VLOOKUP(K177,ucty_synt!A:T,5,0),"doplnit")))))</f>
        <v>-</v>
      </c>
      <c r="P177" s="3" t="str">
        <f>IF(I177=0,"-",IF(VLOOKUP(K177,ucty_synt!A:S,4,0)=RIGHT($P$1,5),IF(SUMIFS(I:I,C:C,C177,D:D,D177)&gt;=0,VLOOKUP(K177,ucty_synt!A:E,5,0),VLOOKUP(K177,ucty_synt!A:L,12,0)),"-"))</f>
        <v>-</v>
      </c>
      <c r="Q177" s="3" t="str">
        <f>IF(I177=0,"-",IF(VLOOKUP(K177,ucty_synt!A:S,4,0)=RIGHT($Q$1,5),IF(SUMIFS(I:I,C:C,C177,K:K,K177)&gt;=0,VLOOKUP(K177,ucty_synt!A:E,5,0),VLOOKUP(K177,ucty_synt!A:L,12,0)),"-"))</f>
        <v>-</v>
      </c>
      <c r="R177" s="459"/>
      <c r="S177" s="8" t="str">
        <f t="shared" si="25"/>
        <v>-</v>
      </c>
      <c r="T177" s="15" t="str">
        <f>IF(S177="-","-",IF(M177="Rozvaha",VLOOKUP(S177,'radky_R'!A:O,14,0),IF(M177="Výsledovka",VLOOKUP(S177,'radky_V'!A:M,12,0),"-")))</f>
        <v>-</v>
      </c>
      <c r="U177" s="20" t="str">
        <f>IF(I177=0,"-",IF(M177="Rozvaha",VLOOKUP(S177,'radky_R'!A:O,8,0),IF(M177="Výsledovka",VLOOKUP(S177,'radky_V'!A:M,8,0),"-")))</f>
        <v>-</v>
      </c>
      <c r="V177" s="20" t="str">
        <f>IF(I177=0,"-",IF(M177="Rozvaha",VLOOKUP(S177,'radky_R'!A:O,9,0),IF(M177="Výsledovka",VLOOKUP(S177,'radky_V'!A:M,9,0),"-")))</f>
        <v>-</v>
      </c>
      <c r="W177" s="104" t="str">
        <f>IF(I177=0,"-",IF(M177="Rozvaha",VLOOKUP(S177,'radky_R'!A:O,15,0),IF(M177="Výsledovka",VLOOKUP(S177,'radky_V'!A:M,11,0),"-")))</f>
        <v>-</v>
      </c>
      <c r="X177" s="5" t="str">
        <f>IF(I177=0,"-",VLOOKUP(K177,ucty_synt!A:S,19,0))</f>
        <v>-</v>
      </c>
      <c r="Y177" s="6">
        <f t="shared" si="23"/>
        <v>0</v>
      </c>
      <c r="Z177" s="650" t="str">
        <f>IF(data[[#This Row],[uc_synt]]="-","-",VLOOKUP(data[[#This Row],[uc_synt]],ucty_synt!A:T,20,0))</f>
        <v>-</v>
      </c>
      <c r="AA177" s="650" t="str">
        <f>IF(COUNTIF(proc_exc!A:A,data[[#This Row],[ucet]])&gt;1,"chyba v proc_exc!",IF(COUNTIF(proc_exc!A:A,data[[#This Row],[ucet]])=1,VLOOKUP(data[[#This Row],[ucet]],proc_exc!A:E,5,0),data[[#This Row],[proces default]]))</f>
        <v>-</v>
      </c>
    </row>
    <row r="178" spans="2:27" x14ac:dyDescent="0.3">
      <c r="B178" s="36"/>
      <c r="C178" s="32"/>
      <c r="J178" s="15" t="str">
        <f t="shared" si="24"/>
        <v xml:space="preserve"> </v>
      </c>
      <c r="K178" s="3" t="str">
        <f>IF(I178=0,"-",VALUE(LEFT(D178,LEN(D178)-(INDEX!$E$13-3))))</f>
        <v>-</v>
      </c>
      <c r="L178" s="5" t="str">
        <f>IF(I178=0,"-",VLOOKUP(K178,ucty_synt!A:B,2,0))</f>
        <v>-</v>
      </c>
      <c r="M178" s="15" t="str">
        <f>IF(S178="-","-",VLOOKUP(K178,ucty_synt!A:S,3,0))</f>
        <v>-</v>
      </c>
      <c r="N178" s="15" t="str">
        <f>IF(I178=0,"-",IF(M178="Rozvaha",VLOOKUP(S178,'radky_R'!A:O,6,0),IF(M178="Výsledovka",VLOOKUP(S178,'radky_V'!A:M,6,0),"-")))</f>
        <v>-</v>
      </c>
      <c r="O178" s="3" t="str">
        <f>IF(I178=0,"-",IF(COUNTIF(ucty_synt!A:A,K178)=0,"účet n/a",IF(VLOOKUP(K178,ucty_synt!A:S,4,0)=RIGHT($P$1,5),"podle AÚ",IF(VLOOKUP(K178,ucty_synt!A:S,4,0)=RIGHT($Q$1,5),"podle SÚ",IF(SUMIF(ucty_synt!A:A,K178,ucty_synt!E:E)&lt;&gt;0,VLOOKUP(K178,ucty_synt!A:T,5,0),"doplnit")))))</f>
        <v>-</v>
      </c>
      <c r="P178" s="3" t="str">
        <f>IF(I178=0,"-",IF(VLOOKUP(K178,ucty_synt!A:S,4,0)=RIGHT($P$1,5),IF(SUMIFS(I:I,C:C,C178,D:D,D178)&gt;=0,VLOOKUP(K178,ucty_synt!A:E,5,0),VLOOKUP(K178,ucty_synt!A:L,12,0)),"-"))</f>
        <v>-</v>
      </c>
      <c r="Q178" s="3" t="str">
        <f>IF(I178=0,"-",IF(VLOOKUP(K178,ucty_synt!A:S,4,0)=RIGHT($Q$1,5),IF(SUMIFS(I:I,C:C,C178,K:K,K178)&gt;=0,VLOOKUP(K178,ucty_synt!A:E,5,0),VLOOKUP(K178,ucty_synt!A:L,12,0)),"-"))</f>
        <v>-</v>
      </c>
      <c r="R178" s="459"/>
      <c r="S178" s="8" t="str">
        <f t="shared" si="25"/>
        <v>-</v>
      </c>
      <c r="T178" s="15" t="str">
        <f>IF(S178="-","-",IF(M178="Rozvaha",VLOOKUP(S178,'radky_R'!A:O,14,0),IF(M178="Výsledovka",VLOOKUP(S178,'radky_V'!A:M,12,0),"-")))</f>
        <v>-</v>
      </c>
      <c r="U178" s="20" t="str">
        <f>IF(I178=0,"-",IF(M178="Rozvaha",VLOOKUP(S178,'radky_R'!A:O,8,0),IF(M178="Výsledovka",VLOOKUP(S178,'radky_V'!A:M,8,0),"-")))</f>
        <v>-</v>
      </c>
      <c r="V178" s="20" t="str">
        <f>IF(I178=0,"-",IF(M178="Rozvaha",VLOOKUP(S178,'radky_R'!A:O,9,0),IF(M178="Výsledovka",VLOOKUP(S178,'radky_V'!A:M,9,0),"-")))</f>
        <v>-</v>
      </c>
      <c r="W178" s="104" t="str">
        <f>IF(I178=0,"-",IF(M178="Rozvaha",VLOOKUP(S178,'radky_R'!A:O,15,0),IF(M178="Výsledovka",VLOOKUP(S178,'radky_V'!A:M,11,0),"-")))</f>
        <v>-</v>
      </c>
      <c r="X178" s="5" t="str">
        <f>IF(I178=0,"-",VLOOKUP(K178,ucty_synt!A:S,19,0))</f>
        <v>-</v>
      </c>
      <c r="Y178" s="6">
        <f t="shared" si="23"/>
        <v>0</v>
      </c>
      <c r="Z178" s="650" t="str">
        <f>IF(data[[#This Row],[uc_synt]]="-","-",VLOOKUP(data[[#This Row],[uc_synt]],ucty_synt!A:T,20,0))</f>
        <v>-</v>
      </c>
      <c r="AA178" s="650" t="str">
        <f>IF(COUNTIF(proc_exc!A:A,data[[#This Row],[ucet]])&gt;1,"chyba v proc_exc!",IF(COUNTIF(proc_exc!A:A,data[[#This Row],[ucet]])=1,VLOOKUP(data[[#This Row],[ucet]],proc_exc!A:E,5,0),data[[#This Row],[proces default]]))</f>
        <v>-</v>
      </c>
    </row>
    <row r="179" spans="2:27" x14ac:dyDescent="0.3">
      <c r="B179" s="36"/>
      <c r="C179" s="32"/>
      <c r="J179" s="15" t="str">
        <f t="shared" si="24"/>
        <v xml:space="preserve"> </v>
      </c>
      <c r="K179" s="3" t="str">
        <f>IF(I179=0,"-",VALUE(LEFT(D179,LEN(D179)-(INDEX!$E$13-3))))</f>
        <v>-</v>
      </c>
      <c r="L179" s="5" t="str">
        <f>IF(I179=0,"-",VLOOKUP(K179,ucty_synt!A:B,2,0))</f>
        <v>-</v>
      </c>
      <c r="M179" s="15" t="str">
        <f>IF(S179="-","-",VLOOKUP(K179,ucty_synt!A:S,3,0))</f>
        <v>-</v>
      </c>
      <c r="N179" s="15" t="str">
        <f>IF(I179=0,"-",IF(M179="Rozvaha",VLOOKUP(S179,'radky_R'!A:O,6,0),IF(M179="Výsledovka",VLOOKUP(S179,'radky_V'!A:M,6,0),"-")))</f>
        <v>-</v>
      </c>
      <c r="O179" s="3" t="str">
        <f>IF(I179=0,"-",IF(COUNTIF(ucty_synt!A:A,K179)=0,"účet n/a",IF(VLOOKUP(K179,ucty_synt!A:S,4,0)=RIGHT($P$1,5),"podle AÚ",IF(VLOOKUP(K179,ucty_synt!A:S,4,0)=RIGHT($Q$1,5),"podle SÚ",IF(SUMIF(ucty_synt!A:A,K179,ucty_synt!E:E)&lt;&gt;0,VLOOKUP(K179,ucty_synt!A:T,5,0),"doplnit")))))</f>
        <v>-</v>
      </c>
      <c r="P179" s="3" t="str">
        <f>IF(I179=0,"-",IF(VLOOKUP(K179,ucty_synt!A:S,4,0)=RIGHT($P$1,5),IF(SUMIFS(I:I,C:C,C179,D:D,D179)&gt;=0,VLOOKUP(K179,ucty_synt!A:E,5,0),VLOOKUP(K179,ucty_synt!A:L,12,0)),"-"))</f>
        <v>-</v>
      </c>
      <c r="Q179" s="3" t="str">
        <f>IF(I179=0,"-",IF(VLOOKUP(K179,ucty_synt!A:S,4,0)=RIGHT($Q$1,5),IF(SUMIFS(I:I,C:C,C179,K:K,K179)&gt;=0,VLOOKUP(K179,ucty_synt!A:E,5,0),VLOOKUP(K179,ucty_synt!A:L,12,0)),"-"))</f>
        <v>-</v>
      </c>
      <c r="R179" s="459"/>
      <c r="S179" s="8" t="str">
        <f t="shared" si="25"/>
        <v>-</v>
      </c>
      <c r="T179" s="15" t="str">
        <f>IF(S179="-","-",IF(M179="Rozvaha",VLOOKUP(S179,'radky_R'!A:O,14,0),IF(M179="Výsledovka",VLOOKUP(S179,'radky_V'!A:M,12,0),"-")))</f>
        <v>-</v>
      </c>
      <c r="U179" s="20" t="str">
        <f>IF(I179=0,"-",IF(M179="Rozvaha",VLOOKUP(S179,'radky_R'!A:O,8,0),IF(M179="Výsledovka",VLOOKUP(S179,'radky_V'!A:M,8,0),"-")))</f>
        <v>-</v>
      </c>
      <c r="V179" s="20" t="str">
        <f>IF(I179=0,"-",IF(M179="Rozvaha",VLOOKUP(S179,'radky_R'!A:O,9,0),IF(M179="Výsledovka",VLOOKUP(S179,'radky_V'!A:M,9,0),"-")))</f>
        <v>-</v>
      </c>
      <c r="W179" s="104" t="str">
        <f>IF(I179=0,"-",IF(M179="Rozvaha",VLOOKUP(S179,'radky_R'!A:O,15,0),IF(M179="Výsledovka",VLOOKUP(S179,'radky_V'!A:M,11,0),"-")))</f>
        <v>-</v>
      </c>
      <c r="X179" s="5" t="str">
        <f>IF(I179=0,"-",VLOOKUP(K179,ucty_synt!A:S,19,0))</f>
        <v>-</v>
      </c>
      <c r="Y179" s="6">
        <f t="shared" si="23"/>
        <v>0</v>
      </c>
      <c r="Z179" s="650" t="str">
        <f>IF(data[[#This Row],[uc_synt]]="-","-",VLOOKUP(data[[#This Row],[uc_synt]],ucty_synt!A:T,20,0))</f>
        <v>-</v>
      </c>
      <c r="AA179" s="650" t="str">
        <f>IF(COUNTIF(proc_exc!A:A,data[[#This Row],[ucet]])&gt;1,"chyba v proc_exc!",IF(COUNTIF(proc_exc!A:A,data[[#This Row],[ucet]])=1,VLOOKUP(data[[#This Row],[ucet]],proc_exc!A:E,5,0),data[[#This Row],[proces default]]))</f>
        <v>-</v>
      </c>
    </row>
    <row r="180" spans="2:27" x14ac:dyDescent="0.3">
      <c r="B180" s="36"/>
      <c r="C180" s="32"/>
      <c r="J180" s="15" t="str">
        <f t="shared" si="24"/>
        <v xml:space="preserve"> </v>
      </c>
      <c r="K180" s="3" t="str">
        <f>IF(I180=0,"-",VALUE(LEFT(D180,LEN(D180)-(INDEX!$E$13-3))))</f>
        <v>-</v>
      </c>
      <c r="L180" s="5" t="str">
        <f>IF(I180=0,"-",VLOOKUP(K180,ucty_synt!A:B,2,0))</f>
        <v>-</v>
      </c>
      <c r="M180" s="15" t="str">
        <f>IF(S180="-","-",VLOOKUP(K180,ucty_synt!A:S,3,0))</f>
        <v>-</v>
      </c>
      <c r="N180" s="15" t="str">
        <f>IF(I180=0,"-",IF(M180="Rozvaha",VLOOKUP(S180,'radky_R'!A:O,6,0),IF(M180="Výsledovka",VLOOKUP(S180,'radky_V'!A:M,6,0),"-")))</f>
        <v>-</v>
      </c>
      <c r="O180" s="3" t="str">
        <f>IF(I180=0,"-",IF(COUNTIF(ucty_synt!A:A,K180)=0,"účet n/a",IF(VLOOKUP(K180,ucty_synt!A:S,4,0)=RIGHT($P$1,5),"podle AÚ",IF(VLOOKUP(K180,ucty_synt!A:S,4,0)=RIGHT($Q$1,5),"podle SÚ",IF(SUMIF(ucty_synt!A:A,K180,ucty_synt!E:E)&lt;&gt;0,VLOOKUP(K180,ucty_synt!A:T,5,0),"doplnit")))))</f>
        <v>-</v>
      </c>
      <c r="P180" s="3" t="str">
        <f>IF(I180=0,"-",IF(VLOOKUP(K180,ucty_synt!A:S,4,0)=RIGHT($P$1,5),IF(SUMIFS(I:I,C:C,C180,D:D,D180)&gt;=0,VLOOKUP(K180,ucty_synt!A:E,5,0),VLOOKUP(K180,ucty_synt!A:L,12,0)),"-"))</f>
        <v>-</v>
      </c>
      <c r="Q180" s="3" t="str">
        <f>IF(I180=0,"-",IF(VLOOKUP(K180,ucty_synt!A:S,4,0)=RIGHT($Q$1,5),IF(SUMIFS(I:I,C:C,C180,K:K,K180)&gt;=0,VLOOKUP(K180,ucty_synt!A:E,5,0),VLOOKUP(K180,ucty_synt!A:L,12,0)),"-"))</f>
        <v>-</v>
      </c>
      <c r="R180" s="459"/>
      <c r="S180" s="8" t="str">
        <f t="shared" si="25"/>
        <v>-</v>
      </c>
      <c r="T180" s="15" t="str">
        <f>IF(S180="-","-",IF(M180="Rozvaha",VLOOKUP(S180,'radky_R'!A:O,14,0),IF(M180="Výsledovka",VLOOKUP(S180,'radky_V'!A:M,12,0),"-")))</f>
        <v>-</v>
      </c>
      <c r="U180" s="20" t="str">
        <f>IF(I180=0,"-",IF(M180="Rozvaha",VLOOKUP(S180,'radky_R'!A:O,8,0),IF(M180="Výsledovka",VLOOKUP(S180,'radky_V'!A:M,8,0),"-")))</f>
        <v>-</v>
      </c>
      <c r="V180" s="20" t="str">
        <f>IF(I180=0,"-",IF(M180="Rozvaha",VLOOKUP(S180,'radky_R'!A:O,9,0),IF(M180="Výsledovka",VLOOKUP(S180,'radky_V'!A:M,9,0),"-")))</f>
        <v>-</v>
      </c>
      <c r="W180" s="104" t="str">
        <f>IF(I180=0,"-",IF(M180="Rozvaha",VLOOKUP(S180,'radky_R'!A:O,15,0),IF(M180="Výsledovka",VLOOKUP(S180,'radky_V'!A:M,11,0),"-")))</f>
        <v>-</v>
      </c>
      <c r="X180" s="5" t="str">
        <f>IF(I180=0,"-",VLOOKUP(K180,ucty_synt!A:S,19,0))</f>
        <v>-</v>
      </c>
      <c r="Y180" s="6">
        <f t="shared" si="23"/>
        <v>0</v>
      </c>
      <c r="Z180" s="650" t="str">
        <f>IF(data[[#This Row],[uc_synt]]="-","-",VLOOKUP(data[[#This Row],[uc_synt]],ucty_synt!A:T,20,0))</f>
        <v>-</v>
      </c>
      <c r="AA180" s="650" t="str">
        <f>IF(COUNTIF(proc_exc!A:A,data[[#This Row],[ucet]])&gt;1,"chyba v proc_exc!",IF(COUNTIF(proc_exc!A:A,data[[#This Row],[ucet]])=1,VLOOKUP(data[[#This Row],[ucet]],proc_exc!A:E,5,0),data[[#This Row],[proces default]]))</f>
        <v>-</v>
      </c>
    </row>
    <row r="181" spans="2:27" x14ac:dyDescent="0.3">
      <c r="B181" s="36"/>
      <c r="C181" s="32"/>
      <c r="J181" s="15" t="str">
        <f t="shared" si="24"/>
        <v xml:space="preserve"> </v>
      </c>
      <c r="K181" s="3" t="str">
        <f>IF(I181=0,"-",VALUE(LEFT(D181,LEN(D181)-(INDEX!$E$13-3))))</f>
        <v>-</v>
      </c>
      <c r="L181" s="5" t="str">
        <f>IF(I181=0,"-",VLOOKUP(K181,ucty_synt!A:B,2,0))</f>
        <v>-</v>
      </c>
      <c r="M181" s="15" t="str">
        <f>IF(S181="-","-",VLOOKUP(K181,ucty_synt!A:S,3,0))</f>
        <v>-</v>
      </c>
      <c r="N181" s="15" t="str">
        <f>IF(I181=0,"-",IF(M181="Rozvaha",VLOOKUP(S181,'radky_R'!A:O,6,0),IF(M181="Výsledovka",VLOOKUP(S181,'radky_V'!A:M,6,0),"-")))</f>
        <v>-</v>
      </c>
      <c r="O181" s="3" t="str">
        <f>IF(I181=0,"-",IF(COUNTIF(ucty_synt!A:A,K181)=0,"účet n/a",IF(VLOOKUP(K181,ucty_synt!A:S,4,0)=RIGHT($P$1,5),"podle AÚ",IF(VLOOKUP(K181,ucty_synt!A:S,4,0)=RIGHT($Q$1,5),"podle SÚ",IF(SUMIF(ucty_synt!A:A,K181,ucty_synt!E:E)&lt;&gt;0,VLOOKUP(K181,ucty_synt!A:T,5,0),"doplnit")))))</f>
        <v>-</v>
      </c>
      <c r="P181" s="3" t="str">
        <f>IF(I181=0,"-",IF(VLOOKUP(K181,ucty_synt!A:S,4,0)=RIGHT($P$1,5),IF(SUMIFS(I:I,C:C,C181,D:D,D181)&gt;=0,VLOOKUP(K181,ucty_synt!A:E,5,0),VLOOKUP(K181,ucty_synt!A:L,12,0)),"-"))</f>
        <v>-</v>
      </c>
      <c r="Q181" s="3" t="str">
        <f>IF(I181=0,"-",IF(VLOOKUP(K181,ucty_synt!A:S,4,0)=RIGHT($Q$1,5),IF(SUMIFS(I:I,C:C,C181,K:K,K181)&gt;=0,VLOOKUP(K181,ucty_synt!A:E,5,0),VLOOKUP(K181,ucty_synt!A:L,12,0)),"-"))</f>
        <v>-</v>
      </c>
      <c r="R181" s="459"/>
      <c r="S181" s="8" t="str">
        <f t="shared" si="25"/>
        <v>-</v>
      </c>
      <c r="T181" s="15" t="str">
        <f>IF(S181="-","-",IF(M181="Rozvaha",VLOOKUP(S181,'radky_R'!A:O,14,0),IF(M181="Výsledovka",VLOOKUP(S181,'radky_V'!A:M,12,0),"-")))</f>
        <v>-</v>
      </c>
      <c r="U181" s="20" t="str">
        <f>IF(I181=0,"-",IF(M181="Rozvaha",VLOOKUP(S181,'radky_R'!A:O,8,0),IF(M181="Výsledovka",VLOOKUP(S181,'radky_V'!A:M,8,0),"-")))</f>
        <v>-</v>
      </c>
      <c r="V181" s="20" t="str">
        <f>IF(I181=0,"-",IF(M181="Rozvaha",VLOOKUP(S181,'radky_R'!A:O,9,0),IF(M181="Výsledovka",VLOOKUP(S181,'radky_V'!A:M,9,0),"-")))</f>
        <v>-</v>
      </c>
      <c r="W181" s="104" t="str">
        <f>IF(I181=0,"-",IF(M181="Rozvaha",VLOOKUP(S181,'radky_R'!A:O,15,0),IF(M181="Výsledovka",VLOOKUP(S181,'radky_V'!A:M,11,0),"-")))</f>
        <v>-</v>
      </c>
      <c r="X181" s="5" t="str">
        <f>IF(I181=0,"-",VLOOKUP(K181,ucty_synt!A:S,19,0))</f>
        <v>-</v>
      </c>
      <c r="Y181" s="6">
        <f t="shared" si="23"/>
        <v>0</v>
      </c>
      <c r="Z181" s="650" t="str">
        <f>IF(data[[#This Row],[uc_synt]]="-","-",VLOOKUP(data[[#This Row],[uc_synt]],ucty_synt!A:T,20,0))</f>
        <v>-</v>
      </c>
      <c r="AA181" s="650" t="str">
        <f>IF(COUNTIF(proc_exc!A:A,data[[#This Row],[ucet]])&gt;1,"chyba v proc_exc!",IF(COUNTIF(proc_exc!A:A,data[[#This Row],[ucet]])=1,VLOOKUP(data[[#This Row],[ucet]],proc_exc!A:E,5,0),data[[#This Row],[proces default]]))</f>
        <v>-</v>
      </c>
    </row>
    <row r="182" spans="2:27" x14ac:dyDescent="0.3">
      <c r="B182" s="36"/>
      <c r="C182" s="32"/>
      <c r="J182" s="15" t="str">
        <f t="shared" si="24"/>
        <v xml:space="preserve"> </v>
      </c>
      <c r="K182" s="3" t="str">
        <f>IF(I182=0,"-",VALUE(LEFT(D182,LEN(D182)-(INDEX!$E$13-3))))</f>
        <v>-</v>
      </c>
      <c r="L182" s="5" t="str">
        <f>IF(I182=0,"-",VLOOKUP(K182,ucty_synt!A:B,2,0))</f>
        <v>-</v>
      </c>
      <c r="M182" s="15" t="str">
        <f>IF(S182="-","-",VLOOKUP(K182,ucty_synt!A:S,3,0))</f>
        <v>-</v>
      </c>
      <c r="N182" s="15" t="str">
        <f>IF(I182=0,"-",IF(M182="Rozvaha",VLOOKUP(S182,'radky_R'!A:O,6,0),IF(M182="Výsledovka",VLOOKUP(S182,'radky_V'!A:M,6,0),"-")))</f>
        <v>-</v>
      </c>
      <c r="O182" s="3" t="str">
        <f>IF(I182=0,"-",IF(COUNTIF(ucty_synt!A:A,K182)=0,"účet n/a",IF(VLOOKUP(K182,ucty_synt!A:S,4,0)=RIGHT($P$1,5),"podle AÚ",IF(VLOOKUP(K182,ucty_synt!A:S,4,0)=RIGHT($Q$1,5),"podle SÚ",IF(SUMIF(ucty_synt!A:A,K182,ucty_synt!E:E)&lt;&gt;0,VLOOKUP(K182,ucty_synt!A:T,5,0),"doplnit")))))</f>
        <v>-</v>
      </c>
      <c r="P182" s="3" t="str">
        <f>IF(I182=0,"-",IF(VLOOKUP(K182,ucty_synt!A:S,4,0)=RIGHT($P$1,5),IF(SUMIFS(I:I,C:C,C182,D:D,D182)&gt;=0,VLOOKUP(K182,ucty_synt!A:E,5,0),VLOOKUP(K182,ucty_synt!A:L,12,0)),"-"))</f>
        <v>-</v>
      </c>
      <c r="Q182" s="3" t="str">
        <f>IF(I182=0,"-",IF(VLOOKUP(K182,ucty_synt!A:S,4,0)=RIGHT($Q$1,5),IF(SUMIFS(I:I,C:C,C182,K:K,K182)&gt;=0,VLOOKUP(K182,ucty_synt!A:E,5,0),VLOOKUP(K182,ucty_synt!A:L,12,0)),"-"))</f>
        <v>-</v>
      </c>
      <c r="R182" s="459"/>
      <c r="S182" s="8" t="str">
        <f t="shared" si="25"/>
        <v>-</v>
      </c>
      <c r="T182" s="15" t="str">
        <f>IF(S182="-","-",IF(M182="Rozvaha",VLOOKUP(S182,'radky_R'!A:O,14,0),IF(M182="Výsledovka",VLOOKUP(S182,'radky_V'!A:M,12,0),"-")))</f>
        <v>-</v>
      </c>
      <c r="U182" s="20" t="str">
        <f>IF(I182=0,"-",IF(M182="Rozvaha",VLOOKUP(S182,'radky_R'!A:O,8,0),IF(M182="Výsledovka",VLOOKUP(S182,'radky_V'!A:M,8,0),"-")))</f>
        <v>-</v>
      </c>
      <c r="V182" s="20" t="str">
        <f>IF(I182=0,"-",IF(M182="Rozvaha",VLOOKUP(S182,'radky_R'!A:O,9,0),IF(M182="Výsledovka",VLOOKUP(S182,'radky_V'!A:M,9,0),"-")))</f>
        <v>-</v>
      </c>
      <c r="W182" s="104" t="str">
        <f>IF(I182=0,"-",IF(M182="Rozvaha",VLOOKUP(S182,'radky_R'!A:O,15,0),IF(M182="Výsledovka",VLOOKUP(S182,'radky_V'!A:M,11,0),"-")))</f>
        <v>-</v>
      </c>
      <c r="X182" s="5" t="str">
        <f>IF(I182=0,"-",VLOOKUP(K182,ucty_synt!A:S,19,0))</f>
        <v>-</v>
      </c>
      <c r="Y182" s="6">
        <f t="shared" si="23"/>
        <v>0</v>
      </c>
      <c r="Z182" s="650" t="str">
        <f>IF(data[[#This Row],[uc_synt]]="-","-",VLOOKUP(data[[#This Row],[uc_synt]],ucty_synt!A:T,20,0))</f>
        <v>-</v>
      </c>
      <c r="AA182" s="650" t="str">
        <f>IF(COUNTIF(proc_exc!A:A,data[[#This Row],[ucet]])&gt;1,"chyba v proc_exc!",IF(COUNTIF(proc_exc!A:A,data[[#This Row],[ucet]])=1,VLOOKUP(data[[#This Row],[ucet]],proc_exc!A:E,5,0),data[[#This Row],[proces default]]))</f>
        <v>-</v>
      </c>
    </row>
    <row r="183" spans="2:27" x14ac:dyDescent="0.3">
      <c r="B183" s="36"/>
      <c r="C183" s="32"/>
      <c r="J183" s="15" t="str">
        <f t="shared" si="24"/>
        <v xml:space="preserve"> </v>
      </c>
      <c r="K183" s="3" t="str">
        <f>IF(I183=0,"-",VALUE(LEFT(D183,LEN(D183)-(INDEX!$E$13-3))))</f>
        <v>-</v>
      </c>
      <c r="L183" s="5" t="str">
        <f>IF(I183=0,"-",VLOOKUP(K183,ucty_synt!A:B,2,0))</f>
        <v>-</v>
      </c>
      <c r="M183" s="15" t="str">
        <f>IF(S183="-","-",VLOOKUP(K183,ucty_synt!A:S,3,0))</f>
        <v>-</v>
      </c>
      <c r="N183" s="15" t="str">
        <f>IF(I183=0,"-",IF(M183="Rozvaha",VLOOKUP(S183,'radky_R'!A:O,6,0),IF(M183="Výsledovka",VLOOKUP(S183,'radky_V'!A:M,6,0),"-")))</f>
        <v>-</v>
      </c>
      <c r="O183" s="3" t="str">
        <f>IF(I183=0,"-",IF(COUNTIF(ucty_synt!A:A,K183)=0,"účet n/a",IF(VLOOKUP(K183,ucty_synt!A:S,4,0)=RIGHT($P$1,5),"podle AÚ",IF(VLOOKUP(K183,ucty_synt!A:S,4,0)=RIGHT($Q$1,5),"podle SÚ",IF(SUMIF(ucty_synt!A:A,K183,ucty_synt!E:E)&lt;&gt;0,VLOOKUP(K183,ucty_synt!A:T,5,0),"doplnit")))))</f>
        <v>-</v>
      </c>
      <c r="P183" s="3" t="str">
        <f>IF(I183=0,"-",IF(VLOOKUP(K183,ucty_synt!A:S,4,0)=RIGHT($P$1,5),IF(SUMIFS(I:I,C:C,C183,D:D,D183)&gt;=0,VLOOKUP(K183,ucty_synt!A:E,5,0),VLOOKUP(K183,ucty_synt!A:L,12,0)),"-"))</f>
        <v>-</v>
      </c>
      <c r="Q183" s="3" t="str">
        <f>IF(I183=0,"-",IF(VLOOKUP(K183,ucty_synt!A:S,4,0)=RIGHT($Q$1,5),IF(SUMIFS(I:I,C:C,C183,K:K,K183)&gt;=0,VLOOKUP(K183,ucty_synt!A:E,5,0),VLOOKUP(K183,ucty_synt!A:L,12,0)),"-"))</f>
        <v>-</v>
      </c>
      <c r="R183" s="459"/>
      <c r="S183" s="8" t="str">
        <f t="shared" si="25"/>
        <v>-</v>
      </c>
      <c r="T183" s="15" t="str">
        <f>IF(S183="-","-",IF(M183="Rozvaha",VLOOKUP(S183,'radky_R'!A:O,14,0),IF(M183="Výsledovka",VLOOKUP(S183,'radky_V'!A:M,12,0),"-")))</f>
        <v>-</v>
      </c>
      <c r="U183" s="20" t="str">
        <f>IF(I183=0,"-",IF(M183="Rozvaha",VLOOKUP(S183,'radky_R'!A:O,8,0),IF(M183="Výsledovka",VLOOKUP(S183,'radky_V'!A:M,8,0),"-")))</f>
        <v>-</v>
      </c>
      <c r="V183" s="20" t="str">
        <f>IF(I183=0,"-",IF(M183="Rozvaha",VLOOKUP(S183,'radky_R'!A:O,9,0),IF(M183="Výsledovka",VLOOKUP(S183,'radky_V'!A:M,9,0),"-")))</f>
        <v>-</v>
      </c>
      <c r="W183" s="104" t="str">
        <f>IF(I183=0,"-",IF(M183="Rozvaha",VLOOKUP(S183,'radky_R'!A:O,15,0),IF(M183="Výsledovka",VLOOKUP(S183,'radky_V'!A:M,11,0),"-")))</f>
        <v>-</v>
      </c>
      <c r="X183" s="5" t="str">
        <f>IF(I183=0,"-",VLOOKUP(K183,ucty_synt!A:S,19,0))</f>
        <v>-</v>
      </c>
      <c r="Y183" s="6">
        <f t="shared" si="23"/>
        <v>0</v>
      </c>
      <c r="Z183" s="650" t="str">
        <f>IF(data[[#This Row],[uc_synt]]="-","-",VLOOKUP(data[[#This Row],[uc_synt]],ucty_synt!A:T,20,0))</f>
        <v>-</v>
      </c>
      <c r="AA183" s="650" t="str">
        <f>IF(COUNTIF(proc_exc!A:A,data[[#This Row],[ucet]])&gt;1,"chyba v proc_exc!",IF(COUNTIF(proc_exc!A:A,data[[#This Row],[ucet]])=1,VLOOKUP(data[[#This Row],[ucet]],proc_exc!A:E,5,0),data[[#This Row],[proces default]]))</f>
        <v>-</v>
      </c>
    </row>
    <row r="184" spans="2:27" x14ac:dyDescent="0.3">
      <c r="B184" s="36"/>
      <c r="C184" s="32"/>
      <c r="J184" s="15" t="str">
        <f t="shared" si="24"/>
        <v xml:space="preserve"> </v>
      </c>
      <c r="K184" s="3" t="str">
        <f>IF(I184=0,"-",VALUE(LEFT(D184,LEN(D184)-(INDEX!$E$13-3))))</f>
        <v>-</v>
      </c>
      <c r="L184" s="5" t="str">
        <f>IF(I184=0,"-",VLOOKUP(K184,ucty_synt!A:B,2,0))</f>
        <v>-</v>
      </c>
      <c r="M184" s="15" t="str">
        <f>IF(S184="-","-",VLOOKUP(K184,ucty_synt!A:S,3,0))</f>
        <v>-</v>
      </c>
      <c r="N184" s="15" t="str">
        <f>IF(I184=0,"-",IF(M184="Rozvaha",VLOOKUP(S184,'radky_R'!A:O,6,0),IF(M184="Výsledovka",VLOOKUP(S184,'radky_V'!A:M,6,0),"-")))</f>
        <v>-</v>
      </c>
      <c r="O184" s="3" t="str">
        <f>IF(I184=0,"-",IF(COUNTIF(ucty_synt!A:A,K184)=0,"účet n/a",IF(VLOOKUP(K184,ucty_synt!A:S,4,0)=RIGHT($P$1,5),"podle AÚ",IF(VLOOKUP(K184,ucty_synt!A:S,4,0)=RIGHT($Q$1,5),"podle SÚ",IF(SUMIF(ucty_synt!A:A,K184,ucty_synt!E:E)&lt;&gt;0,VLOOKUP(K184,ucty_synt!A:T,5,0),"doplnit")))))</f>
        <v>-</v>
      </c>
      <c r="P184" s="3" t="str">
        <f>IF(I184=0,"-",IF(VLOOKUP(K184,ucty_synt!A:S,4,0)=RIGHT($P$1,5),IF(SUMIFS(I:I,C:C,C184,D:D,D184)&gt;=0,VLOOKUP(K184,ucty_synt!A:E,5,0),VLOOKUP(K184,ucty_synt!A:L,12,0)),"-"))</f>
        <v>-</v>
      </c>
      <c r="Q184" s="3" t="str">
        <f>IF(I184=0,"-",IF(VLOOKUP(K184,ucty_synt!A:S,4,0)=RIGHT($Q$1,5),IF(SUMIFS(I:I,C:C,C184,K:K,K184)&gt;=0,VLOOKUP(K184,ucty_synt!A:E,5,0),VLOOKUP(K184,ucty_synt!A:L,12,0)),"-"))</f>
        <v>-</v>
      </c>
      <c r="R184" s="459"/>
      <c r="S184" s="8" t="str">
        <f t="shared" si="25"/>
        <v>-</v>
      </c>
      <c r="T184" s="15" t="str">
        <f>IF(S184="-","-",IF(M184="Rozvaha",VLOOKUP(S184,'radky_R'!A:O,14,0),IF(M184="Výsledovka",VLOOKUP(S184,'radky_V'!A:M,12,0),"-")))</f>
        <v>-</v>
      </c>
      <c r="U184" s="20" t="str">
        <f>IF(I184=0,"-",IF(M184="Rozvaha",VLOOKUP(S184,'radky_R'!A:O,8,0),IF(M184="Výsledovka",VLOOKUP(S184,'radky_V'!A:M,8,0),"-")))</f>
        <v>-</v>
      </c>
      <c r="V184" s="20" t="str">
        <f>IF(I184=0,"-",IF(M184="Rozvaha",VLOOKUP(S184,'radky_R'!A:O,9,0),IF(M184="Výsledovka",VLOOKUP(S184,'radky_V'!A:M,9,0),"-")))</f>
        <v>-</v>
      </c>
      <c r="W184" s="104" t="str">
        <f>IF(I184=0,"-",IF(M184="Rozvaha",VLOOKUP(S184,'radky_R'!A:O,15,0),IF(M184="Výsledovka",VLOOKUP(S184,'radky_V'!A:M,11,0),"-")))</f>
        <v>-</v>
      </c>
      <c r="X184" s="5" t="str">
        <f>IF(I184=0,"-",VLOOKUP(K184,ucty_synt!A:S,19,0))</f>
        <v>-</v>
      </c>
      <c r="Y184" s="6">
        <f t="shared" si="23"/>
        <v>0</v>
      </c>
      <c r="Z184" s="650" t="str">
        <f>IF(data[[#This Row],[uc_synt]]="-","-",VLOOKUP(data[[#This Row],[uc_synt]],ucty_synt!A:T,20,0))</f>
        <v>-</v>
      </c>
      <c r="AA184" s="650" t="str">
        <f>IF(COUNTIF(proc_exc!A:A,data[[#This Row],[ucet]])&gt;1,"chyba v proc_exc!",IF(COUNTIF(proc_exc!A:A,data[[#This Row],[ucet]])=1,VLOOKUP(data[[#This Row],[ucet]],proc_exc!A:E,5,0),data[[#This Row],[proces default]]))</f>
        <v>-</v>
      </c>
    </row>
    <row r="185" spans="2:27" x14ac:dyDescent="0.3">
      <c r="B185" s="36"/>
      <c r="C185" s="32"/>
      <c r="J185" s="15" t="str">
        <f t="shared" si="24"/>
        <v xml:space="preserve"> </v>
      </c>
      <c r="K185" s="3" t="str">
        <f>IF(I185=0,"-",VALUE(LEFT(D185,LEN(D185)-(INDEX!$E$13-3))))</f>
        <v>-</v>
      </c>
      <c r="L185" s="5" t="str">
        <f>IF(I185=0,"-",VLOOKUP(K185,ucty_synt!A:B,2,0))</f>
        <v>-</v>
      </c>
      <c r="M185" s="15" t="str">
        <f>IF(S185="-","-",VLOOKUP(K185,ucty_synt!A:S,3,0))</f>
        <v>-</v>
      </c>
      <c r="N185" s="15" t="str">
        <f>IF(I185=0,"-",IF(M185="Rozvaha",VLOOKUP(S185,'radky_R'!A:O,6,0),IF(M185="Výsledovka",VLOOKUP(S185,'radky_V'!A:M,6,0),"-")))</f>
        <v>-</v>
      </c>
      <c r="O185" s="3" t="str">
        <f>IF(I185=0,"-",IF(COUNTIF(ucty_synt!A:A,K185)=0,"účet n/a",IF(VLOOKUP(K185,ucty_synt!A:S,4,0)=RIGHT($P$1,5),"podle AÚ",IF(VLOOKUP(K185,ucty_synt!A:S,4,0)=RIGHT($Q$1,5),"podle SÚ",IF(SUMIF(ucty_synt!A:A,K185,ucty_synt!E:E)&lt;&gt;0,VLOOKUP(K185,ucty_synt!A:T,5,0),"doplnit")))))</f>
        <v>-</v>
      </c>
      <c r="P185" s="3" t="str">
        <f>IF(I185=0,"-",IF(VLOOKUP(K185,ucty_synt!A:S,4,0)=RIGHT($P$1,5),IF(SUMIFS(I:I,C:C,C185,D:D,D185)&gt;=0,VLOOKUP(K185,ucty_synt!A:E,5,0),VLOOKUP(K185,ucty_synt!A:L,12,0)),"-"))</f>
        <v>-</v>
      </c>
      <c r="Q185" s="3" t="str">
        <f>IF(I185=0,"-",IF(VLOOKUP(K185,ucty_synt!A:S,4,0)=RIGHT($Q$1,5),IF(SUMIFS(I:I,C:C,C185,K:K,K185)&gt;=0,VLOOKUP(K185,ucty_synt!A:E,5,0),VLOOKUP(K185,ucty_synt!A:L,12,0)),"-"))</f>
        <v>-</v>
      </c>
      <c r="R185" s="459"/>
      <c r="S185" s="8" t="str">
        <f t="shared" si="25"/>
        <v>-</v>
      </c>
      <c r="T185" s="15" t="str">
        <f>IF(S185="-","-",IF(M185="Rozvaha",VLOOKUP(S185,'radky_R'!A:O,14,0),IF(M185="Výsledovka",VLOOKUP(S185,'radky_V'!A:M,12,0),"-")))</f>
        <v>-</v>
      </c>
      <c r="U185" s="20" t="str">
        <f>IF(I185=0,"-",IF(M185="Rozvaha",VLOOKUP(S185,'radky_R'!A:O,8,0),IF(M185="Výsledovka",VLOOKUP(S185,'radky_V'!A:M,8,0),"-")))</f>
        <v>-</v>
      </c>
      <c r="V185" s="20" t="str">
        <f>IF(I185=0,"-",IF(M185="Rozvaha",VLOOKUP(S185,'radky_R'!A:O,9,0),IF(M185="Výsledovka",VLOOKUP(S185,'radky_V'!A:M,9,0),"-")))</f>
        <v>-</v>
      </c>
      <c r="W185" s="104" t="str">
        <f>IF(I185=0,"-",IF(M185="Rozvaha",VLOOKUP(S185,'radky_R'!A:O,15,0),IF(M185="Výsledovka",VLOOKUP(S185,'radky_V'!A:M,11,0),"-")))</f>
        <v>-</v>
      </c>
      <c r="X185" s="5" t="str">
        <f>IF(I185=0,"-",VLOOKUP(K185,ucty_synt!A:S,19,0))</f>
        <v>-</v>
      </c>
      <c r="Y185" s="6">
        <f t="shared" si="23"/>
        <v>0</v>
      </c>
      <c r="Z185" s="650" t="str">
        <f>IF(data[[#This Row],[uc_synt]]="-","-",VLOOKUP(data[[#This Row],[uc_synt]],ucty_synt!A:T,20,0))</f>
        <v>-</v>
      </c>
      <c r="AA185" s="650" t="str">
        <f>IF(COUNTIF(proc_exc!A:A,data[[#This Row],[ucet]])&gt;1,"chyba v proc_exc!",IF(COUNTIF(proc_exc!A:A,data[[#This Row],[ucet]])=1,VLOOKUP(data[[#This Row],[ucet]],proc_exc!A:E,5,0),data[[#This Row],[proces default]]))</f>
        <v>-</v>
      </c>
    </row>
    <row r="186" spans="2:27" x14ac:dyDescent="0.3">
      <c r="B186" s="36"/>
      <c r="C186" s="32"/>
      <c r="J186" s="15" t="str">
        <f t="shared" si="24"/>
        <v xml:space="preserve"> </v>
      </c>
      <c r="K186" s="3" t="str">
        <f>IF(I186=0,"-",VALUE(LEFT(D186,LEN(D186)-(INDEX!$E$13-3))))</f>
        <v>-</v>
      </c>
      <c r="L186" s="5" t="str">
        <f>IF(I186=0,"-",VLOOKUP(K186,ucty_synt!A:B,2,0))</f>
        <v>-</v>
      </c>
      <c r="M186" s="15" t="str">
        <f>IF(S186="-","-",VLOOKUP(K186,ucty_synt!A:S,3,0))</f>
        <v>-</v>
      </c>
      <c r="N186" s="15" t="str">
        <f>IF(I186=0,"-",IF(M186="Rozvaha",VLOOKUP(S186,'radky_R'!A:O,6,0),IF(M186="Výsledovka",VLOOKUP(S186,'radky_V'!A:M,6,0),"-")))</f>
        <v>-</v>
      </c>
      <c r="O186" s="3" t="str">
        <f>IF(I186=0,"-",IF(COUNTIF(ucty_synt!A:A,K186)=0,"účet n/a",IF(VLOOKUP(K186,ucty_synt!A:S,4,0)=RIGHT($P$1,5),"podle AÚ",IF(VLOOKUP(K186,ucty_synt!A:S,4,0)=RIGHT($Q$1,5),"podle SÚ",IF(SUMIF(ucty_synt!A:A,K186,ucty_synt!E:E)&lt;&gt;0,VLOOKUP(K186,ucty_synt!A:T,5,0),"doplnit")))))</f>
        <v>-</v>
      </c>
      <c r="P186" s="3" t="str">
        <f>IF(I186=0,"-",IF(VLOOKUP(K186,ucty_synt!A:S,4,0)=RIGHT($P$1,5),IF(SUMIFS(I:I,C:C,C186,D:D,D186)&gt;=0,VLOOKUP(K186,ucty_synt!A:E,5,0),VLOOKUP(K186,ucty_synt!A:L,12,0)),"-"))</f>
        <v>-</v>
      </c>
      <c r="Q186" s="3" t="str">
        <f>IF(I186=0,"-",IF(VLOOKUP(K186,ucty_synt!A:S,4,0)=RIGHT($Q$1,5),IF(SUMIFS(I:I,C:C,C186,K:K,K186)&gt;=0,VLOOKUP(K186,ucty_synt!A:E,5,0),VLOOKUP(K186,ucty_synt!A:L,12,0)),"-"))</f>
        <v>-</v>
      </c>
      <c r="R186" s="459"/>
      <c r="S186" s="8" t="str">
        <f t="shared" si="25"/>
        <v>-</v>
      </c>
      <c r="T186" s="15" t="str">
        <f>IF(S186="-","-",IF(M186="Rozvaha",VLOOKUP(S186,'radky_R'!A:O,14,0),IF(M186="Výsledovka",VLOOKUP(S186,'radky_V'!A:M,12,0),"-")))</f>
        <v>-</v>
      </c>
      <c r="U186" s="20" t="str">
        <f>IF(I186=0,"-",IF(M186="Rozvaha",VLOOKUP(S186,'radky_R'!A:O,8,0),IF(M186="Výsledovka",VLOOKUP(S186,'radky_V'!A:M,8,0),"-")))</f>
        <v>-</v>
      </c>
      <c r="V186" s="20" t="str">
        <f>IF(I186=0,"-",IF(M186="Rozvaha",VLOOKUP(S186,'radky_R'!A:O,9,0),IF(M186="Výsledovka",VLOOKUP(S186,'radky_V'!A:M,9,0),"-")))</f>
        <v>-</v>
      </c>
      <c r="W186" s="104" t="str">
        <f>IF(I186=0,"-",IF(M186="Rozvaha",VLOOKUP(S186,'radky_R'!A:O,15,0),IF(M186="Výsledovka",VLOOKUP(S186,'radky_V'!A:M,11,0),"-")))</f>
        <v>-</v>
      </c>
      <c r="X186" s="5" t="str">
        <f>IF(I186=0,"-",VLOOKUP(K186,ucty_synt!A:S,19,0))</f>
        <v>-</v>
      </c>
      <c r="Y186" s="6">
        <f t="shared" si="23"/>
        <v>0</v>
      </c>
      <c r="Z186" s="650" t="str">
        <f>IF(data[[#This Row],[uc_synt]]="-","-",VLOOKUP(data[[#This Row],[uc_synt]],ucty_synt!A:T,20,0))</f>
        <v>-</v>
      </c>
      <c r="AA186" s="650" t="str">
        <f>IF(COUNTIF(proc_exc!A:A,data[[#This Row],[ucet]])&gt;1,"chyba v proc_exc!",IF(COUNTIF(proc_exc!A:A,data[[#This Row],[ucet]])=1,VLOOKUP(data[[#This Row],[ucet]],proc_exc!A:E,5,0),data[[#This Row],[proces default]]))</f>
        <v>-</v>
      </c>
    </row>
    <row r="187" spans="2:27" x14ac:dyDescent="0.3">
      <c r="B187" s="36"/>
      <c r="C187" s="32"/>
      <c r="J187" s="15" t="str">
        <f t="shared" si="24"/>
        <v xml:space="preserve"> </v>
      </c>
      <c r="K187" s="3" t="str">
        <f>IF(I187=0,"-",VALUE(LEFT(D187,LEN(D187)-(INDEX!$E$13-3))))</f>
        <v>-</v>
      </c>
      <c r="L187" s="5" t="str">
        <f>IF(I187=0,"-",VLOOKUP(K187,ucty_synt!A:B,2,0))</f>
        <v>-</v>
      </c>
      <c r="M187" s="15" t="str">
        <f>IF(S187="-","-",VLOOKUP(K187,ucty_synt!A:S,3,0))</f>
        <v>-</v>
      </c>
      <c r="N187" s="15" t="str">
        <f>IF(I187=0,"-",IF(M187="Rozvaha",VLOOKUP(S187,'radky_R'!A:O,6,0),IF(M187="Výsledovka",VLOOKUP(S187,'radky_V'!A:M,6,0),"-")))</f>
        <v>-</v>
      </c>
      <c r="O187" s="3" t="str">
        <f>IF(I187=0,"-",IF(COUNTIF(ucty_synt!A:A,K187)=0,"účet n/a",IF(VLOOKUP(K187,ucty_synt!A:S,4,0)=RIGHT($P$1,5),"podle AÚ",IF(VLOOKUP(K187,ucty_synt!A:S,4,0)=RIGHT($Q$1,5),"podle SÚ",IF(SUMIF(ucty_synt!A:A,K187,ucty_synt!E:E)&lt;&gt;0,VLOOKUP(K187,ucty_synt!A:T,5,0),"doplnit")))))</f>
        <v>-</v>
      </c>
      <c r="P187" s="3" t="str">
        <f>IF(I187=0,"-",IF(VLOOKUP(K187,ucty_synt!A:S,4,0)=RIGHT($P$1,5),IF(SUMIFS(I:I,C:C,C187,D:D,D187)&gt;=0,VLOOKUP(K187,ucty_synt!A:E,5,0),VLOOKUP(K187,ucty_synt!A:L,12,0)),"-"))</f>
        <v>-</v>
      </c>
      <c r="Q187" s="3" t="str">
        <f>IF(I187=0,"-",IF(VLOOKUP(K187,ucty_synt!A:S,4,0)=RIGHT($Q$1,5),IF(SUMIFS(I:I,C:C,C187,K:K,K187)&gt;=0,VLOOKUP(K187,ucty_synt!A:E,5,0),VLOOKUP(K187,ucty_synt!A:L,12,0)),"-"))</f>
        <v>-</v>
      </c>
      <c r="R187" s="459"/>
      <c r="S187" s="8" t="str">
        <f t="shared" si="25"/>
        <v>-</v>
      </c>
      <c r="T187" s="15" t="str">
        <f>IF(S187="-","-",IF(M187="Rozvaha",VLOOKUP(S187,'radky_R'!A:O,14,0),IF(M187="Výsledovka",VLOOKUP(S187,'radky_V'!A:M,12,0),"-")))</f>
        <v>-</v>
      </c>
      <c r="U187" s="20" t="str">
        <f>IF(I187=0,"-",IF(M187="Rozvaha",VLOOKUP(S187,'radky_R'!A:O,8,0),IF(M187="Výsledovka",VLOOKUP(S187,'radky_V'!A:M,8,0),"-")))</f>
        <v>-</v>
      </c>
      <c r="V187" s="20" t="str">
        <f>IF(I187=0,"-",IF(M187="Rozvaha",VLOOKUP(S187,'radky_R'!A:O,9,0),IF(M187="Výsledovka",VLOOKUP(S187,'radky_V'!A:M,9,0),"-")))</f>
        <v>-</v>
      </c>
      <c r="W187" s="104" t="str">
        <f>IF(I187=0,"-",IF(M187="Rozvaha",VLOOKUP(S187,'radky_R'!A:O,15,0),IF(M187="Výsledovka",VLOOKUP(S187,'radky_V'!A:M,11,0),"-")))</f>
        <v>-</v>
      </c>
      <c r="X187" s="5" t="str">
        <f>IF(I187=0,"-",VLOOKUP(K187,ucty_synt!A:S,19,0))</f>
        <v>-</v>
      </c>
      <c r="Y187" s="6">
        <f t="shared" si="23"/>
        <v>0</v>
      </c>
      <c r="Z187" s="650" t="str">
        <f>IF(data[[#This Row],[uc_synt]]="-","-",VLOOKUP(data[[#This Row],[uc_synt]],ucty_synt!A:T,20,0))</f>
        <v>-</v>
      </c>
      <c r="AA187" s="650" t="str">
        <f>IF(COUNTIF(proc_exc!A:A,data[[#This Row],[ucet]])&gt;1,"chyba v proc_exc!",IF(COUNTIF(proc_exc!A:A,data[[#This Row],[ucet]])=1,VLOOKUP(data[[#This Row],[ucet]],proc_exc!A:E,5,0),data[[#This Row],[proces default]]))</f>
        <v>-</v>
      </c>
    </row>
    <row r="188" spans="2:27" x14ac:dyDescent="0.3">
      <c r="B188" s="36"/>
      <c r="C188" s="32"/>
      <c r="J188" s="15" t="str">
        <f t="shared" si="24"/>
        <v xml:space="preserve"> </v>
      </c>
      <c r="K188" s="3" t="str">
        <f>IF(I188=0,"-",VALUE(LEFT(D188,LEN(D188)-(INDEX!$E$13-3))))</f>
        <v>-</v>
      </c>
      <c r="L188" s="5" t="str">
        <f>IF(I188=0,"-",VLOOKUP(K188,ucty_synt!A:B,2,0))</f>
        <v>-</v>
      </c>
      <c r="M188" s="15" t="str">
        <f>IF(S188="-","-",VLOOKUP(K188,ucty_synt!A:S,3,0))</f>
        <v>-</v>
      </c>
      <c r="N188" s="15" t="str">
        <f>IF(I188=0,"-",IF(M188="Rozvaha",VLOOKUP(S188,'radky_R'!A:O,6,0),IF(M188="Výsledovka",VLOOKUP(S188,'radky_V'!A:M,6,0),"-")))</f>
        <v>-</v>
      </c>
      <c r="O188" s="3" t="str">
        <f>IF(I188=0,"-",IF(COUNTIF(ucty_synt!A:A,K188)=0,"účet n/a",IF(VLOOKUP(K188,ucty_synt!A:S,4,0)=RIGHT($P$1,5),"podle AÚ",IF(VLOOKUP(K188,ucty_synt!A:S,4,0)=RIGHT($Q$1,5),"podle SÚ",IF(SUMIF(ucty_synt!A:A,K188,ucty_synt!E:E)&lt;&gt;0,VLOOKUP(K188,ucty_synt!A:T,5,0),"doplnit")))))</f>
        <v>-</v>
      </c>
      <c r="P188" s="3" t="str">
        <f>IF(I188=0,"-",IF(VLOOKUP(K188,ucty_synt!A:S,4,0)=RIGHT($P$1,5),IF(SUMIFS(I:I,C:C,C188,D:D,D188)&gt;=0,VLOOKUP(K188,ucty_synt!A:E,5,0),VLOOKUP(K188,ucty_synt!A:L,12,0)),"-"))</f>
        <v>-</v>
      </c>
      <c r="Q188" s="3" t="str">
        <f>IF(I188=0,"-",IF(VLOOKUP(K188,ucty_synt!A:S,4,0)=RIGHT($Q$1,5),IF(SUMIFS(I:I,C:C,C188,K:K,K188)&gt;=0,VLOOKUP(K188,ucty_synt!A:E,5,0),VLOOKUP(K188,ucty_synt!A:L,12,0)),"-"))</f>
        <v>-</v>
      </c>
      <c r="R188" s="459"/>
      <c r="S188" s="8" t="str">
        <f t="shared" si="25"/>
        <v>-</v>
      </c>
      <c r="T188" s="15" t="str">
        <f>IF(S188="-","-",IF(M188="Rozvaha",VLOOKUP(S188,'radky_R'!A:O,14,0),IF(M188="Výsledovka",VLOOKUP(S188,'radky_V'!A:M,12,0),"-")))</f>
        <v>-</v>
      </c>
      <c r="U188" s="20" t="str">
        <f>IF(I188=0,"-",IF(M188="Rozvaha",VLOOKUP(S188,'radky_R'!A:O,8,0),IF(M188="Výsledovka",VLOOKUP(S188,'radky_V'!A:M,8,0),"-")))</f>
        <v>-</v>
      </c>
      <c r="V188" s="20" t="str">
        <f>IF(I188=0,"-",IF(M188="Rozvaha",VLOOKUP(S188,'radky_R'!A:O,9,0),IF(M188="Výsledovka",VLOOKUP(S188,'radky_V'!A:M,9,0),"-")))</f>
        <v>-</v>
      </c>
      <c r="W188" s="104" t="str">
        <f>IF(I188=0,"-",IF(M188="Rozvaha",VLOOKUP(S188,'radky_R'!A:O,15,0),IF(M188="Výsledovka",VLOOKUP(S188,'radky_V'!A:M,11,0),"-")))</f>
        <v>-</v>
      </c>
      <c r="X188" s="5" t="str">
        <f>IF(I188=0,"-",VLOOKUP(K188,ucty_synt!A:S,19,0))</f>
        <v>-</v>
      </c>
      <c r="Y188" s="6">
        <f t="shared" si="23"/>
        <v>0</v>
      </c>
      <c r="Z188" s="650" t="str">
        <f>IF(data[[#This Row],[uc_synt]]="-","-",VLOOKUP(data[[#This Row],[uc_synt]],ucty_synt!A:T,20,0))</f>
        <v>-</v>
      </c>
      <c r="AA188" s="650" t="str">
        <f>IF(COUNTIF(proc_exc!A:A,data[[#This Row],[ucet]])&gt;1,"chyba v proc_exc!",IF(COUNTIF(proc_exc!A:A,data[[#This Row],[ucet]])=1,VLOOKUP(data[[#This Row],[ucet]],proc_exc!A:E,5,0),data[[#This Row],[proces default]]))</f>
        <v>-</v>
      </c>
    </row>
    <row r="189" spans="2:27" x14ac:dyDescent="0.3">
      <c r="B189" s="36"/>
      <c r="C189" s="32"/>
      <c r="J189" s="15" t="str">
        <f t="shared" si="24"/>
        <v xml:space="preserve"> </v>
      </c>
      <c r="K189" s="3" t="str">
        <f>IF(I189=0,"-",VALUE(LEFT(D189,LEN(D189)-(INDEX!$E$13-3))))</f>
        <v>-</v>
      </c>
      <c r="L189" s="5" t="str">
        <f>IF(I189=0,"-",VLOOKUP(K189,ucty_synt!A:B,2,0))</f>
        <v>-</v>
      </c>
      <c r="M189" s="15" t="str">
        <f>IF(S189="-","-",VLOOKUP(K189,ucty_synt!A:S,3,0))</f>
        <v>-</v>
      </c>
      <c r="N189" s="15" t="str">
        <f>IF(I189=0,"-",IF(M189="Rozvaha",VLOOKUP(S189,'radky_R'!A:O,6,0),IF(M189="Výsledovka",VLOOKUP(S189,'radky_V'!A:M,6,0),"-")))</f>
        <v>-</v>
      </c>
      <c r="O189" s="3" t="str">
        <f>IF(I189=0,"-",IF(COUNTIF(ucty_synt!A:A,K189)=0,"účet n/a",IF(VLOOKUP(K189,ucty_synt!A:S,4,0)=RIGHT($P$1,5),"podle AÚ",IF(VLOOKUP(K189,ucty_synt!A:S,4,0)=RIGHT($Q$1,5),"podle SÚ",IF(SUMIF(ucty_synt!A:A,K189,ucty_synt!E:E)&lt;&gt;0,VLOOKUP(K189,ucty_synt!A:T,5,0),"doplnit")))))</f>
        <v>-</v>
      </c>
      <c r="P189" s="3" t="str">
        <f>IF(I189=0,"-",IF(VLOOKUP(K189,ucty_synt!A:S,4,0)=RIGHT($P$1,5),IF(SUMIFS(I:I,C:C,C189,D:D,D189)&gt;=0,VLOOKUP(K189,ucty_synt!A:E,5,0),VLOOKUP(K189,ucty_synt!A:L,12,0)),"-"))</f>
        <v>-</v>
      </c>
      <c r="Q189" s="3" t="str">
        <f>IF(I189=0,"-",IF(VLOOKUP(K189,ucty_synt!A:S,4,0)=RIGHT($Q$1,5),IF(SUMIFS(I:I,C:C,C189,K:K,K189)&gt;=0,VLOOKUP(K189,ucty_synt!A:E,5,0),VLOOKUP(K189,ucty_synt!A:L,12,0)),"-"))</f>
        <v>-</v>
      </c>
      <c r="R189" s="459"/>
      <c r="S189" s="8" t="str">
        <f t="shared" si="25"/>
        <v>-</v>
      </c>
      <c r="T189" s="15" t="str">
        <f>IF(S189="-","-",IF(M189="Rozvaha",VLOOKUP(S189,'radky_R'!A:O,14,0),IF(M189="Výsledovka",VLOOKUP(S189,'radky_V'!A:M,12,0),"-")))</f>
        <v>-</v>
      </c>
      <c r="U189" s="20" t="str">
        <f>IF(I189=0,"-",IF(M189="Rozvaha",VLOOKUP(S189,'radky_R'!A:O,8,0),IF(M189="Výsledovka",VLOOKUP(S189,'radky_V'!A:M,8,0),"-")))</f>
        <v>-</v>
      </c>
      <c r="V189" s="20" t="str">
        <f>IF(I189=0,"-",IF(M189="Rozvaha",VLOOKUP(S189,'radky_R'!A:O,9,0),IF(M189="Výsledovka",VLOOKUP(S189,'radky_V'!A:M,9,0),"-")))</f>
        <v>-</v>
      </c>
      <c r="W189" s="104" t="str">
        <f>IF(I189=0,"-",IF(M189="Rozvaha",VLOOKUP(S189,'radky_R'!A:O,15,0),IF(M189="Výsledovka",VLOOKUP(S189,'radky_V'!A:M,11,0),"-")))</f>
        <v>-</v>
      </c>
      <c r="X189" s="5" t="str">
        <f>IF(I189=0,"-",VLOOKUP(K189,ucty_synt!A:S,19,0))</f>
        <v>-</v>
      </c>
      <c r="Y189" s="6">
        <f t="shared" si="23"/>
        <v>0</v>
      </c>
      <c r="Z189" s="650" t="str">
        <f>IF(data[[#This Row],[uc_synt]]="-","-",VLOOKUP(data[[#This Row],[uc_synt]],ucty_synt!A:T,20,0))</f>
        <v>-</v>
      </c>
      <c r="AA189" s="650" t="str">
        <f>IF(COUNTIF(proc_exc!A:A,data[[#This Row],[ucet]])&gt;1,"chyba v proc_exc!",IF(COUNTIF(proc_exc!A:A,data[[#This Row],[ucet]])=1,VLOOKUP(data[[#This Row],[ucet]],proc_exc!A:E,5,0),data[[#This Row],[proces default]]))</f>
        <v>-</v>
      </c>
    </row>
    <row r="190" spans="2:27" x14ac:dyDescent="0.3">
      <c r="B190" s="36"/>
      <c r="C190" s="32"/>
      <c r="J190" s="15" t="str">
        <f t="shared" si="24"/>
        <v xml:space="preserve"> </v>
      </c>
      <c r="K190" s="3" t="str">
        <f>IF(I190=0,"-",VALUE(LEFT(D190,LEN(D190)-(INDEX!$E$13-3))))</f>
        <v>-</v>
      </c>
      <c r="L190" s="5" t="str">
        <f>IF(I190=0,"-",VLOOKUP(K190,ucty_synt!A:B,2,0))</f>
        <v>-</v>
      </c>
      <c r="M190" s="15" t="str">
        <f>IF(S190="-","-",VLOOKUP(K190,ucty_synt!A:S,3,0))</f>
        <v>-</v>
      </c>
      <c r="N190" s="15" t="str">
        <f>IF(I190=0,"-",IF(M190="Rozvaha",VLOOKUP(S190,'radky_R'!A:O,6,0),IF(M190="Výsledovka",VLOOKUP(S190,'radky_V'!A:M,6,0),"-")))</f>
        <v>-</v>
      </c>
      <c r="O190" s="3" t="str">
        <f>IF(I190=0,"-",IF(COUNTIF(ucty_synt!A:A,K190)=0,"účet n/a",IF(VLOOKUP(K190,ucty_synt!A:S,4,0)=RIGHT($P$1,5),"podle AÚ",IF(VLOOKUP(K190,ucty_synt!A:S,4,0)=RIGHT($Q$1,5),"podle SÚ",IF(SUMIF(ucty_synt!A:A,K190,ucty_synt!E:E)&lt;&gt;0,VLOOKUP(K190,ucty_synt!A:T,5,0),"doplnit")))))</f>
        <v>-</v>
      </c>
      <c r="P190" s="3" t="str">
        <f>IF(I190=0,"-",IF(VLOOKUP(K190,ucty_synt!A:S,4,0)=RIGHT($P$1,5),IF(SUMIFS(I:I,C:C,C190,D:D,D190)&gt;=0,VLOOKUP(K190,ucty_synt!A:E,5,0),VLOOKUP(K190,ucty_synt!A:L,12,0)),"-"))</f>
        <v>-</v>
      </c>
      <c r="Q190" s="3" t="str">
        <f>IF(I190=0,"-",IF(VLOOKUP(K190,ucty_synt!A:S,4,0)=RIGHT($Q$1,5),IF(SUMIFS(I:I,C:C,C190,K:K,K190)&gt;=0,VLOOKUP(K190,ucty_synt!A:E,5,0),VLOOKUP(K190,ucty_synt!A:L,12,0)),"-"))</f>
        <v>-</v>
      </c>
      <c r="R190" s="459"/>
      <c r="S190" s="8" t="str">
        <f t="shared" si="25"/>
        <v>-</v>
      </c>
      <c r="T190" s="15" t="str">
        <f>IF(S190="-","-",IF(M190="Rozvaha",VLOOKUP(S190,'radky_R'!A:O,14,0),IF(M190="Výsledovka",VLOOKUP(S190,'radky_V'!A:M,12,0),"-")))</f>
        <v>-</v>
      </c>
      <c r="U190" s="20" t="str">
        <f>IF(I190=0,"-",IF(M190="Rozvaha",VLOOKUP(S190,'radky_R'!A:O,8,0),IF(M190="Výsledovka",VLOOKUP(S190,'radky_V'!A:M,8,0),"-")))</f>
        <v>-</v>
      </c>
      <c r="V190" s="20" t="str">
        <f>IF(I190=0,"-",IF(M190="Rozvaha",VLOOKUP(S190,'radky_R'!A:O,9,0),IF(M190="Výsledovka",VLOOKUP(S190,'radky_V'!A:M,9,0),"-")))</f>
        <v>-</v>
      </c>
      <c r="W190" s="104" t="str">
        <f>IF(I190=0,"-",IF(M190="Rozvaha",VLOOKUP(S190,'radky_R'!A:O,15,0),IF(M190="Výsledovka",VLOOKUP(S190,'radky_V'!A:M,11,0),"-")))</f>
        <v>-</v>
      </c>
      <c r="X190" s="5" t="str">
        <f>IF(I190=0,"-",VLOOKUP(K190,ucty_synt!A:S,19,0))</f>
        <v>-</v>
      </c>
      <c r="Y190" s="6">
        <f t="shared" si="23"/>
        <v>0</v>
      </c>
      <c r="Z190" s="650" t="str">
        <f>IF(data[[#This Row],[uc_synt]]="-","-",VLOOKUP(data[[#This Row],[uc_synt]],ucty_synt!A:T,20,0))</f>
        <v>-</v>
      </c>
      <c r="AA190" s="650" t="str">
        <f>IF(COUNTIF(proc_exc!A:A,data[[#This Row],[ucet]])&gt;1,"chyba v proc_exc!",IF(COUNTIF(proc_exc!A:A,data[[#This Row],[ucet]])=1,VLOOKUP(data[[#This Row],[ucet]],proc_exc!A:E,5,0),data[[#This Row],[proces default]]))</f>
        <v>-</v>
      </c>
    </row>
    <row r="191" spans="2:27" x14ac:dyDescent="0.3">
      <c r="B191" s="36"/>
      <c r="C191" s="32"/>
      <c r="J191" s="15" t="str">
        <f t="shared" si="24"/>
        <v xml:space="preserve"> </v>
      </c>
      <c r="K191" s="3" t="str">
        <f>IF(I191=0,"-",VALUE(LEFT(D191,LEN(D191)-(INDEX!$E$13-3))))</f>
        <v>-</v>
      </c>
      <c r="L191" s="5" t="str">
        <f>IF(I191=0,"-",VLOOKUP(K191,ucty_synt!A:B,2,0))</f>
        <v>-</v>
      </c>
      <c r="M191" s="15" t="str">
        <f>IF(S191="-","-",VLOOKUP(K191,ucty_synt!A:S,3,0))</f>
        <v>-</v>
      </c>
      <c r="N191" s="15" t="str">
        <f>IF(I191=0,"-",IF(M191="Rozvaha",VLOOKUP(S191,'radky_R'!A:O,6,0),IF(M191="Výsledovka",VLOOKUP(S191,'radky_V'!A:M,6,0),"-")))</f>
        <v>-</v>
      </c>
      <c r="O191" s="3" t="str">
        <f>IF(I191=0,"-",IF(COUNTIF(ucty_synt!A:A,K191)=0,"účet n/a",IF(VLOOKUP(K191,ucty_synt!A:S,4,0)=RIGHT($P$1,5),"podle AÚ",IF(VLOOKUP(K191,ucty_synt!A:S,4,0)=RIGHT($Q$1,5),"podle SÚ",IF(SUMIF(ucty_synt!A:A,K191,ucty_synt!E:E)&lt;&gt;0,VLOOKUP(K191,ucty_synt!A:T,5,0),"doplnit")))))</f>
        <v>-</v>
      </c>
      <c r="P191" s="3" t="str">
        <f>IF(I191=0,"-",IF(VLOOKUP(K191,ucty_synt!A:S,4,0)=RIGHT($P$1,5),IF(SUMIFS(I:I,C:C,C191,D:D,D191)&gt;=0,VLOOKUP(K191,ucty_synt!A:E,5,0),VLOOKUP(K191,ucty_synt!A:L,12,0)),"-"))</f>
        <v>-</v>
      </c>
      <c r="Q191" s="3" t="str">
        <f>IF(I191=0,"-",IF(VLOOKUP(K191,ucty_synt!A:S,4,0)=RIGHT($Q$1,5),IF(SUMIFS(I:I,C:C,C191,K:K,K191)&gt;=0,VLOOKUP(K191,ucty_synt!A:E,5,0),VLOOKUP(K191,ucty_synt!A:L,12,0)),"-"))</f>
        <v>-</v>
      </c>
      <c r="R191" s="459"/>
      <c r="S191" s="8" t="str">
        <f t="shared" si="25"/>
        <v>-</v>
      </c>
      <c r="T191" s="15" t="str">
        <f>IF(S191="-","-",IF(M191="Rozvaha",VLOOKUP(S191,'radky_R'!A:O,14,0),IF(M191="Výsledovka",VLOOKUP(S191,'radky_V'!A:M,12,0),"-")))</f>
        <v>-</v>
      </c>
      <c r="U191" s="20" t="str">
        <f>IF(I191=0,"-",IF(M191="Rozvaha",VLOOKUP(S191,'radky_R'!A:O,8,0),IF(M191="Výsledovka",VLOOKUP(S191,'radky_V'!A:M,8,0),"-")))</f>
        <v>-</v>
      </c>
      <c r="V191" s="20" t="str">
        <f>IF(I191=0,"-",IF(M191="Rozvaha",VLOOKUP(S191,'radky_R'!A:O,9,0),IF(M191="Výsledovka",VLOOKUP(S191,'radky_V'!A:M,9,0),"-")))</f>
        <v>-</v>
      </c>
      <c r="W191" s="104" t="str">
        <f>IF(I191=0,"-",IF(M191="Rozvaha",VLOOKUP(S191,'radky_R'!A:O,15,0),IF(M191="Výsledovka",VLOOKUP(S191,'radky_V'!A:M,11,0),"-")))</f>
        <v>-</v>
      </c>
      <c r="X191" s="5" t="str">
        <f>IF(I191=0,"-",VLOOKUP(K191,ucty_synt!A:S,19,0))</f>
        <v>-</v>
      </c>
      <c r="Y191" s="6">
        <f t="shared" si="23"/>
        <v>0</v>
      </c>
      <c r="Z191" s="650" t="str">
        <f>IF(data[[#This Row],[uc_synt]]="-","-",VLOOKUP(data[[#This Row],[uc_synt]],ucty_synt!A:T,20,0))</f>
        <v>-</v>
      </c>
      <c r="AA191" s="650" t="str">
        <f>IF(COUNTIF(proc_exc!A:A,data[[#This Row],[ucet]])&gt;1,"chyba v proc_exc!",IF(COUNTIF(proc_exc!A:A,data[[#This Row],[ucet]])=1,VLOOKUP(data[[#This Row],[ucet]],proc_exc!A:E,5,0),data[[#This Row],[proces default]]))</f>
        <v>-</v>
      </c>
    </row>
    <row r="192" spans="2:27" x14ac:dyDescent="0.3">
      <c r="B192" s="36"/>
      <c r="C192" s="32"/>
      <c r="J192" s="15" t="str">
        <f t="shared" si="24"/>
        <v xml:space="preserve"> </v>
      </c>
      <c r="K192" s="3" t="str">
        <f>IF(I192=0,"-",VALUE(LEFT(D192,LEN(D192)-(INDEX!$E$13-3))))</f>
        <v>-</v>
      </c>
      <c r="L192" s="5" t="str">
        <f>IF(I192=0,"-",VLOOKUP(K192,ucty_synt!A:B,2,0))</f>
        <v>-</v>
      </c>
      <c r="M192" s="15" t="str">
        <f>IF(S192="-","-",VLOOKUP(K192,ucty_synt!A:S,3,0))</f>
        <v>-</v>
      </c>
      <c r="N192" s="15" t="str">
        <f>IF(I192=0,"-",IF(M192="Rozvaha",VLOOKUP(S192,'radky_R'!A:O,6,0),IF(M192="Výsledovka",VLOOKUP(S192,'radky_V'!A:M,6,0),"-")))</f>
        <v>-</v>
      </c>
      <c r="O192" s="3" t="str">
        <f>IF(I192=0,"-",IF(COUNTIF(ucty_synt!A:A,K192)=0,"účet n/a",IF(VLOOKUP(K192,ucty_synt!A:S,4,0)=RIGHT($P$1,5),"podle AÚ",IF(VLOOKUP(K192,ucty_synt!A:S,4,0)=RIGHT($Q$1,5),"podle SÚ",IF(SUMIF(ucty_synt!A:A,K192,ucty_synt!E:E)&lt;&gt;0,VLOOKUP(K192,ucty_synt!A:T,5,0),"doplnit")))))</f>
        <v>-</v>
      </c>
      <c r="P192" s="3" t="str">
        <f>IF(I192=0,"-",IF(VLOOKUP(K192,ucty_synt!A:S,4,0)=RIGHT($P$1,5),IF(SUMIFS(I:I,C:C,C192,D:D,D192)&gt;=0,VLOOKUP(K192,ucty_synt!A:E,5,0),VLOOKUP(K192,ucty_synt!A:L,12,0)),"-"))</f>
        <v>-</v>
      </c>
      <c r="Q192" s="3" t="str">
        <f>IF(I192=0,"-",IF(VLOOKUP(K192,ucty_synt!A:S,4,0)=RIGHT($Q$1,5),IF(SUMIFS(I:I,C:C,C192,K:K,K192)&gt;=0,VLOOKUP(K192,ucty_synt!A:E,5,0),VLOOKUP(K192,ucty_synt!A:L,12,0)),"-"))</f>
        <v>-</v>
      </c>
      <c r="R192" s="459"/>
      <c r="S192" s="8" t="str">
        <f t="shared" si="25"/>
        <v>-</v>
      </c>
      <c r="T192" s="15" t="str">
        <f>IF(S192="-","-",IF(M192="Rozvaha",VLOOKUP(S192,'radky_R'!A:O,14,0),IF(M192="Výsledovka",VLOOKUP(S192,'radky_V'!A:M,12,0),"-")))</f>
        <v>-</v>
      </c>
      <c r="U192" s="20" t="str">
        <f>IF(I192=0,"-",IF(M192="Rozvaha",VLOOKUP(S192,'radky_R'!A:O,8,0),IF(M192="Výsledovka",VLOOKUP(S192,'radky_V'!A:M,8,0),"-")))</f>
        <v>-</v>
      </c>
      <c r="V192" s="20" t="str">
        <f>IF(I192=0,"-",IF(M192="Rozvaha",VLOOKUP(S192,'radky_R'!A:O,9,0),IF(M192="Výsledovka",VLOOKUP(S192,'radky_V'!A:M,9,0),"-")))</f>
        <v>-</v>
      </c>
      <c r="W192" s="104" t="str">
        <f>IF(I192=0,"-",IF(M192="Rozvaha",VLOOKUP(S192,'radky_R'!A:O,15,0),IF(M192="Výsledovka",VLOOKUP(S192,'radky_V'!A:M,11,0),"-")))</f>
        <v>-</v>
      </c>
      <c r="X192" s="5" t="str">
        <f>IF(I192=0,"-",VLOOKUP(K192,ucty_synt!A:S,19,0))</f>
        <v>-</v>
      </c>
      <c r="Y192" s="6">
        <f t="shared" si="23"/>
        <v>0</v>
      </c>
      <c r="Z192" s="650" t="str">
        <f>IF(data[[#This Row],[uc_synt]]="-","-",VLOOKUP(data[[#This Row],[uc_synt]],ucty_synt!A:T,20,0))</f>
        <v>-</v>
      </c>
      <c r="AA192" s="650" t="str">
        <f>IF(COUNTIF(proc_exc!A:A,data[[#This Row],[ucet]])&gt;1,"chyba v proc_exc!",IF(COUNTIF(proc_exc!A:A,data[[#This Row],[ucet]])=1,VLOOKUP(data[[#This Row],[ucet]],proc_exc!A:E,5,0),data[[#This Row],[proces default]]))</f>
        <v>-</v>
      </c>
    </row>
    <row r="193" spans="2:27" x14ac:dyDescent="0.3">
      <c r="B193" s="36"/>
      <c r="C193" s="32"/>
      <c r="J193" s="15" t="str">
        <f t="shared" si="24"/>
        <v xml:space="preserve"> </v>
      </c>
      <c r="K193" s="3" t="str">
        <f>IF(I193=0,"-",VALUE(LEFT(D193,LEN(D193)-(INDEX!$E$13-3))))</f>
        <v>-</v>
      </c>
      <c r="L193" s="5" t="str">
        <f>IF(I193=0,"-",VLOOKUP(K193,ucty_synt!A:B,2,0))</f>
        <v>-</v>
      </c>
      <c r="M193" s="15" t="str">
        <f>IF(S193="-","-",VLOOKUP(K193,ucty_synt!A:S,3,0))</f>
        <v>-</v>
      </c>
      <c r="N193" s="15" t="str">
        <f>IF(I193=0,"-",IF(M193="Rozvaha",VLOOKUP(S193,'radky_R'!A:O,6,0),IF(M193="Výsledovka",VLOOKUP(S193,'radky_V'!A:M,6,0),"-")))</f>
        <v>-</v>
      </c>
      <c r="O193" s="3" t="str">
        <f>IF(I193=0,"-",IF(COUNTIF(ucty_synt!A:A,K193)=0,"účet n/a",IF(VLOOKUP(K193,ucty_synt!A:S,4,0)=RIGHT($P$1,5),"podle AÚ",IF(VLOOKUP(K193,ucty_synt!A:S,4,0)=RIGHT($Q$1,5),"podle SÚ",IF(SUMIF(ucty_synt!A:A,K193,ucty_synt!E:E)&lt;&gt;0,VLOOKUP(K193,ucty_synt!A:T,5,0),"doplnit")))))</f>
        <v>-</v>
      </c>
      <c r="P193" s="3" t="str">
        <f>IF(I193=0,"-",IF(VLOOKUP(K193,ucty_synt!A:S,4,0)=RIGHT($P$1,5),IF(SUMIFS(I:I,C:C,C193,D:D,D193)&gt;=0,VLOOKUP(K193,ucty_synt!A:E,5,0),VLOOKUP(K193,ucty_synt!A:L,12,0)),"-"))</f>
        <v>-</v>
      </c>
      <c r="Q193" s="3" t="str">
        <f>IF(I193=0,"-",IF(VLOOKUP(K193,ucty_synt!A:S,4,0)=RIGHT($Q$1,5),IF(SUMIFS(I:I,C:C,C193,K:K,K193)&gt;=0,VLOOKUP(K193,ucty_synt!A:E,5,0),VLOOKUP(K193,ucty_synt!A:L,12,0)),"-"))</f>
        <v>-</v>
      </c>
      <c r="R193" s="459"/>
      <c r="S193" s="8" t="str">
        <f t="shared" si="25"/>
        <v>-</v>
      </c>
      <c r="T193" s="15" t="str">
        <f>IF(S193="-","-",IF(M193="Rozvaha",VLOOKUP(S193,'radky_R'!A:O,14,0),IF(M193="Výsledovka",VLOOKUP(S193,'radky_V'!A:M,12,0),"-")))</f>
        <v>-</v>
      </c>
      <c r="U193" s="20" t="str">
        <f>IF(I193=0,"-",IF(M193="Rozvaha",VLOOKUP(S193,'radky_R'!A:O,8,0),IF(M193="Výsledovka",VLOOKUP(S193,'radky_V'!A:M,8,0),"-")))</f>
        <v>-</v>
      </c>
      <c r="V193" s="20" t="str">
        <f>IF(I193=0,"-",IF(M193="Rozvaha",VLOOKUP(S193,'radky_R'!A:O,9,0),IF(M193="Výsledovka",VLOOKUP(S193,'radky_V'!A:M,9,0),"-")))</f>
        <v>-</v>
      </c>
      <c r="W193" s="104" t="str">
        <f>IF(I193=0,"-",IF(M193="Rozvaha",VLOOKUP(S193,'radky_R'!A:O,15,0),IF(M193="Výsledovka",VLOOKUP(S193,'radky_V'!A:M,11,0),"-")))</f>
        <v>-</v>
      </c>
      <c r="X193" s="5" t="str">
        <f>IF(I193=0,"-",VLOOKUP(K193,ucty_synt!A:S,19,0))</f>
        <v>-</v>
      </c>
      <c r="Y193" s="6">
        <f t="shared" si="23"/>
        <v>0</v>
      </c>
      <c r="Z193" s="650" t="str">
        <f>IF(data[[#This Row],[uc_synt]]="-","-",VLOOKUP(data[[#This Row],[uc_synt]],ucty_synt!A:T,20,0))</f>
        <v>-</v>
      </c>
      <c r="AA193" s="650" t="str">
        <f>IF(COUNTIF(proc_exc!A:A,data[[#This Row],[ucet]])&gt;1,"chyba v proc_exc!",IF(COUNTIF(proc_exc!A:A,data[[#This Row],[ucet]])=1,VLOOKUP(data[[#This Row],[ucet]],proc_exc!A:E,5,0),data[[#This Row],[proces default]]))</f>
        <v>-</v>
      </c>
    </row>
    <row r="194" spans="2:27" x14ac:dyDescent="0.3">
      <c r="B194" s="36"/>
      <c r="C194" s="32"/>
      <c r="J194" s="15" t="str">
        <f t="shared" si="24"/>
        <v xml:space="preserve"> </v>
      </c>
      <c r="K194" s="3" t="str">
        <f>IF(I194=0,"-",VALUE(LEFT(D194,LEN(D194)-(INDEX!$E$13-3))))</f>
        <v>-</v>
      </c>
      <c r="L194" s="5" t="str">
        <f>IF(I194=0,"-",VLOOKUP(K194,ucty_synt!A:B,2,0))</f>
        <v>-</v>
      </c>
      <c r="M194" s="15" t="str">
        <f>IF(S194="-","-",VLOOKUP(K194,ucty_synt!A:S,3,0))</f>
        <v>-</v>
      </c>
      <c r="N194" s="15" t="str">
        <f>IF(I194=0,"-",IF(M194="Rozvaha",VLOOKUP(S194,'radky_R'!A:O,6,0),IF(M194="Výsledovka",VLOOKUP(S194,'radky_V'!A:M,6,0),"-")))</f>
        <v>-</v>
      </c>
      <c r="O194" s="3" t="str">
        <f>IF(I194=0,"-",IF(COUNTIF(ucty_synt!A:A,K194)=0,"účet n/a",IF(VLOOKUP(K194,ucty_synt!A:S,4,0)=RIGHT($P$1,5),"podle AÚ",IF(VLOOKUP(K194,ucty_synt!A:S,4,0)=RIGHT($Q$1,5),"podle SÚ",IF(SUMIF(ucty_synt!A:A,K194,ucty_synt!E:E)&lt;&gt;0,VLOOKUP(K194,ucty_synt!A:T,5,0),"doplnit")))))</f>
        <v>-</v>
      </c>
      <c r="P194" s="3" t="str">
        <f>IF(I194=0,"-",IF(VLOOKUP(K194,ucty_synt!A:S,4,0)=RIGHT($P$1,5),IF(SUMIFS(I:I,C:C,C194,D:D,D194)&gt;=0,VLOOKUP(K194,ucty_synt!A:E,5,0),VLOOKUP(K194,ucty_synt!A:L,12,0)),"-"))</f>
        <v>-</v>
      </c>
      <c r="Q194" s="3" t="str">
        <f>IF(I194=0,"-",IF(VLOOKUP(K194,ucty_synt!A:S,4,0)=RIGHT($Q$1,5),IF(SUMIFS(I:I,C:C,C194,K:K,K194)&gt;=0,VLOOKUP(K194,ucty_synt!A:E,5,0),VLOOKUP(K194,ucty_synt!A:L,12,0)),"-"))</f>
        <v>-</v>
      </c>
      <c r="R194" s="459"/>
      <c r="S194" s="8" t="str">
        <f t="shared" si="25"/>
        <v>-</v>
      </c>
      <c r="T194" s="15" t="str">
        <f>IF(S194="-","-",IF(M194="Rozvaha",VLOOKUP(S194,'radky_R'!A:O,14,0),IF(M194="Výsledovka",VLOOKUP(S194,'radky_V'!A:M,12,0),"-")))</f>
        <v>-</v>
      </c>
      <c r="U194" s="20" t="str">
        <f>IF(I194=0,"-",IF(M194="Rozvaha",VLOOKUP(S194,'radky_R'!A:O,8,0),IF(M194="Výsledovka",VLOOKUP(S194,'radky_V'!A:M,8,0),"-")))</f>
        <v>-</v>
      </c>
      <c r="V194" s="20" t="str">
        <f>IF(I194=0,"-",IF(M194="Rozvaha",VLOOKUP(S194,'radky_R'!A:O,9,0),IF(M194="Výsledovka",VLOOKUP(S194,'radky_V'!A:M,9,0),"-")))</f>
        <v>-</v>
      </c>
      <c r="W194" s="104" t="str">
        <f>IF(I194=0,"-",IF(M194="Rozvaha",VLOOKUP(S194,'radky_R'!A:O,15,0),IF(M194="Výsledovka",VLOOKUP(S194,'radky_V'!A:M,11,0),"-")))</f>
        <v>-</v>
      </c>
      <c r="X194" s="5" t="str">
        <f>IF(I194=0,"-",VLOOKUP(K194,ucty_synt!A:S,19,0))</f>
        <v>-</v>
      </c>
      <c r="Y194" s="6">
        <f t="shared" si="23"/>
        <v>0</v>
      </c>
      <c r="Z194" s="650" t="str">
        <f>IF(data[[#This Row],[uc_synt]]="-","-",VLOOKUP(data[[#This Row],[uc_synt]],ucty_synt!A:T,20,0))</f>
        <v>-</v>
      </c>
      <c r="AA194" s="650" t="str">
        <f>IF(COUNTIF(proc_exc!A:A,data[[#This Row],[ucet]])&gt;1,"chyba v proc_exc!",IF(COUNTIF(proc_exc!A:A,data[[#This Row],[ucet]])=1,VLOOKUP(data[[#This Row],[ucet]],proc_exc!A:E,5,0),data[[#This Row],[proces default]]))</f>
        <v>-</v>
      </c>
    </row>
    <row r="195" spans="2:27" x14ac:dyDescent="0.3">
      <c r="B195" s="36"/>
      <c r="C195" s="32"/>
      <c r="J195" s="15" t="str">
        <f t="shared" ref="J195:J200" si="26">CONCATENATE(D195," ",E195)</f>
        <v xml:space="preserve"> </v>
      </c>
      <c r="K195" s="3" t="str">
        <f>IF(I195=0,"-",VALUE(LEFT(D195,LEN(D195)-(INDEX!$E$13-3))))</f>
        <v>-</v>
      </c>
      <c r="L195" s="5" t="str">
        <f>IF(I195=0,"-",VLOOKUP(K195,ucty_synt!A:B,2,0))</f>
        <v>-</v>
      </c>
      <c r="M195" s="15" t="str">
        <f>IF(S195="-","-",VLOOKUP(K195,ucty_synt!A:S,3,0))</f>
        <v>-</v>
      </c>
      <c r="N195" s="15" t="str">
        <f>IF(I195=0,"-",IF(M195="Rozvaha",VLOOKUP(S195,'radky_R'!A:O,6,0),IF(M195="Výsledovka",VLOOKUP(S195,'radky_V'!A:M,6,0),"-")))</f>
        <v>-</v>
      </c>
      <c r="O195" s="3" t="str">
        <f>IF(I195=0,"-",IF(COUNTIF(ucty_synt!A:A,K195)=0,"účet n/a",IF(VLOOKUP(K195,ucty_synt!A:S,4,0)=RIGHT($P$1,5),"podle AÚ",IF(VLOOKUP(K195,ucty_synt!A:S,4,0)=RIGHT($Q$1,5),"podle SÚ",IF(SUMIF(ucty_synt!A:A,K195,ucty_synt!E:E)&lt;&gt;0,VLOOKUP(K195,ucty_synt!A:T,5,0),"doplnit")))))</f>
        <v>-</v>
      </c>
      <c r="P195" s="3" t="str">
        <f>IF(I195=0,"-",IF(VLOOKUP(K195,ucty_synt!A:S,4,0)=RIGHT($P$1,5),IF(SUMIFS(I:I,C:C,C195,D:D,D195)&gt;=0,VLOOKUP(K195,ucty_synt!A:E,5,0),VLOOKUP(K195,ucty_synt!A:L,12,0)),"-"))</f>
        <v>-</v>
      </c>
      <c r="Q195" s="3" t="str">
        <f>IF(I195=0,"-",IF(VLOOKUP(K195,ucty_synt!A:S,4,0)=RIGHT($Q$1,5),IF(SUMIFS(I:I,C:C,C195,K:K,K195)&gt;=0,VLOOKUP(K195,ucty_synt!A:E,5,0),VLOOKUP(K195,ucty_synt!A:L,12,0)),"-"))</f>
        <v>-</v>
      </c>
      <c r="R195" s="459"/>
      <c r="S195" s="8" t="str">
        <f t="shared" ref="S195:S200" si="27">IF(ISNUMBER(R195),R195,IF(ISNUMBER(Q195),Q195,IF(ISNUMBER(P195),P195,IF(ISNUMBER(O195),O195,"-"))))</f>
        <v>-</v>
      </c>
      <c r="T195" s="15" t="str">
        <f>IF(S195="-","-",IF(M195="Rozvaha",VLOOKUP(S195,'radky_R'!A:O,14,0),IF(M195="Výsledovka",VLOOKUP(S195,'radky_V'!A:M,12,0),"-")))</f>
        <v>-</v>
      </c>
      <c r="U195" s="20" t="str">
        <f>IF(I195=0,"-",IF(M195="Rozvaha",VLOOKUP(S195,'radky_R'!A:O,8,0),IF(M195="Výsledovka",VLOOKUP(S195,'radky_V'!A:M,8,0),"-")))</f>
        <v>-</v>
      </c>
      <c r="V195" s="20" t="str">
        <f>IF(I195=0,"-",IF(M195="Rozvaha",VLOOKUP(S195,'radky_R'!A:O,9,0),IF(M195="Výsledovka",VLOOKUP(S195,'radky_V'!A:M,9,0),"-")))</f>
        <v>-</v>
      </c>
      <c r="W195" s="104" t="str">
        <f>IF(I195=0,"-",IF(M195="Rozvaha",VLOOKUP(S195,'radky_R'!A:O,15,0),IF(M195="Výsledovka",VLOOKUP(S195,'radky_V'!A:M,11,0),"-")))</f>
        <v>-</v>
      </c>
      <c r="X195" s="5" t="str">
        <f>IF(I195=0,"-",VLOOKUP(K195,ucty_synt!A:S,19,0))</f>
        <v>-</v>
      </c>
      <c r="Y195" s="6">
        <f t="shared" si="23"/>
        <v>0</v>
      </c>
      <c r="Z195" s="650" t="str">
        <f>IF(data[[#This Row],[uc_synt]]="-","-",VLOOKUP(data[[#This Row],[uc_synt]],ucty_synt!A:T,20,0))</f>
        <v>-</v>
      </c>
      <c r="AA195" s="650" t="str">
        <f>IF(COUNTIF(proc_exc!A:A,data[[#This Row],[ucet]])&gt;1,"chyba v proc_exc!",IF(COUNTIF(proc_exc!A:A,data[[#This Row],[ucet]])=1,VLOOKUP(data[[#This Row],[ucet]],proc_exc!A:E,5,0),data[[#This Row],[proces default]]))</f>
        <v>-</v>
      </c>
    </row>
    <row r="196" spans="2:27" x14ac:dyDescent="0.3">
      <c r="B196" s="36"/>
      <c r="C196" s="32"/>
      <c r="J196" s="15" t="str">
        <f t="shared" si="26"/>
        <v xml:space="preserve"> </v>
      </c>
      <c r="K196" s="3" t="str">
        <f>IF(I196=0,"-",VALUE(LEFT(D196,LEN(D196)-(INDEX!$E$13-3))))</f>
        <v>-</v>
      </c>
      <c r="L196" s="5" t="str">
        <f>IF(I196=0,"-",VLOOKUP(K196,ucty_synt!A:B,2,0))</f>
        <v>-</v>
      </c>
      <c r="M196" s="15" t="str">
        <f>IF(S196="-","-",VLOOKUP(K196,ucty_synt!A:S,3,0))</f>
        <v>-</v>
      </c>
      <c r="N196" s="15" t="str">
        <f>IF(I196=0,"-",IF(M196="Rozvaha",VLOOKUP(S196,'radky_R'!A:O,6,0),IF(M196="Výsledovka",VLOOKUP(S196,'radky_V'!A:M,6,0),"-")))</f>
        <v>-</v>
      </c>
      <c r="O196" s="3" t="str">
        <f>IF(I196=0,"-",IF(COUNTIF(ucty_synt!A:A,K196)=0,"účet n/a",IF(VLOOKUP(K196,ucty_synt!A:S,4,0)=RIGHT($P$1,5),"podle AÚ",IF(VLOOKUP(K196,ucty_synt!A:S,4,0)=RIGHT($Q$1,5),"podle SÚ",IF(SUMIF(ucty_synt!A:A,K196,ucty_synt!E:E)&lt;&gt;0,VLOOKUP(K196,ucty_synt!A:T,5,0),"doplnit")))))</f>
        <v>-</v>
      </c>
      <c r="P196" s="3" t="str">
        <f>IF(I196=0,"-",IF(VLOOKUP(K196,ucty_synt!A:S,4,0)=RIGHT($P$1,5),IF(SUMIFS(I:I,C:C,C196,D:D,D196)&gt;=0,VLOOKUP(K196,ucty_synt!A:E,5,0),VLOOKUP(K196,ucty_synt!A:L,12,0)),"-"))</f>
        <v>-</v>
      </c>
      <c r="Q196" s="3" t="str">
        <f>IF(I196=0,"-",IF(VLOOKUP(K196,ucty_synt!A:S,4,0)=RIGHT($Q$1,5),IF(SUMIFS(I:I,C:C,C196,K:K,K196)&gt;=0,VLOOKUP(K196,ucty_synt!A:E,5,0),VLOOKUP(K196,ucty_synt!A:L,12,0)),"-"))</f>
        <v>-</v>
      </c>
      <c r="R196" s="459"/>
      <c r="S196" s="8" t="str">
        <f t="shared" si="27"/>
        <v>-</v>
      </c>
      <c r="T196" s="15" t="str">
        <f>IF(S196="-","-",IF(M196="Rozvaha",VLOOKUP(S196,'radky_R'!A:O,14,0),IF(M196="Výsledovka",VLOOKUP(S196,'radky_V'!A:M,12,0),"-")))</f>
        <v>-</v>
      </c>
      <c r="U196" s="20" t="str">
        <f>IF(I196=0,"-",IF(M196="Rozvaha",VLOOKUP(S196,'radky_R'!A:O,8,0),IF(M196="Výsledovka",VLOOKUP(S196,'radky_V'!A:M,8,0),"-")))</f>
        <v>-</v>
      </c>
      <c r="V196" s="20" t="str">
        <f>IF(I196=0,"-",IF(M196="Rozvaha",VLOOKUP(S196,'radky_R'!A:O,9,0),IF(M196="Výsledovka",VLOOKUP(S196,'radky_V'!A:M,9,0),"-")))</f>
        <v>-</v>
      </c>
      <c r="W196" s="104" t="str">
        <f>IF(I196=0,"-",IF(M196="Rozvaha",VLOOKUP(S196,'radky_R'!A:O,15,0),IF(M196="Výsledovka",VLOOKUP(S196,'radky_V'!A:M,11,0),"-")))</f>
        <v>-</v>
      </c>
      <c r="X196" s="5" t="str">
        <f>IF(I196=0,"-",VLOOKUP(K196,ucty_synt!A:S,19,0))</f>
        <v>-</v>
      </c>
      <c r="Y196" s="6">
        <f t="shared" si="23"/>
        <v>0</v>
      </c>
      <c r="Z196" s="650" t="str">
        <f>IF(data[[#This Row],[uc_synt]]="-","-",VLOOKUP(data[[#This Row],[uc_synt]],ucty_synt!A:T,20,0))</f>
        <v>-</v>
      </c>
      <c r="AA196" s="650" t="str">
        <f>IF(COUNTIF(proc_exc!A:A,data[[#This Row],[ucet]])&gt;1,"chyba v proc_exc!",IF(COUNTIF(proc_exc!A:A,data[[#This Row],[ucet]])=1,VLOOKUP(data[[#This Row],[ucet]],proc_exc!A:E,5,0),data[[#This Row],[proces default]]))</f>
        <v>-</v>
      </c>
    </row>
    <row r="197" spans="2:27" x14ac:dyDescent="0.3">
      <c r="B197" s="36"/>
      <c r="C197" s="32"/>
      <c r="J197" s="15" t="str">
        <f t="shared" si="26"/>
        <v xml:space="preserve"> </v>
      </c>
      <c r="K197" s="3" t="str">
        <f>IF(I197=0,"-",VALUE(LEFT(D197,LEN(D197)-(INDEX!$E$13-3))))</f>
        <v>-</v>
      </c>
      <c r="L197" s="5" t="str">
        <f>IF(I197=0,"-",VLOOKUP(K197,ucty_synt!A:B,2,0))</f>
        <v>-</v>
      </c>
      <c r="M197" s="15" t="str">
        <f>IF(S197="-","-",VLOOKUP(K197,ucty_synt!A:S,3,0))</f>
        <v>-</v>
      </c>
      <c r="N197" s="15" t="str">
        <f>IF(I197=0,"-",IF(M197="Rozvaha",VLOOKUP(S197,'radky_R'!A:O,6,0),IF(M197="Výsledovka",VLOOKUP(S197,'radky_V'!A:M,6,0),"-")))</f>
        <v>-</v>
      </c>
      <c r="O197" s="3" t="str">
        <f>IF(I197=0,"-",IF(COUNTIF(ucty_synt!A:A,K197)=0,"účet n/a",IF(VLOOKUP(K197,ucty_synt!A:S,4,0)=RIGHT($P$1,5),"podle AÚ",IF(VLOOKUP(K197,ucty_synt!A:S,4,0)=RIGHT($Q$1,5),"podle SÚ",IF(SUMIF(ucty_synt!A:A,K197,ucty_synt!E:E)&lt;&gt;0,VLOOKUP(K197,ucty_synt!A:T,5,0),"doplnit")))))</f>
        <v>-</v>
      </c>
      <c r="P197" s="3" t="str">
        <f>IF(I197=0,"-",IF(VLOOKUP(K197,ucty_synt!A:S,4,0)=RIGHT($P$1,5),IF(SUMIFS(I:I,C:C,C197,D:D,D197)&gt;=0,VLOOKUP(K197,ucty_synt!A:E,5,0),VLOOKUP(K197,ucty_synt!A:L,12,0)),"-"))</f>
        <v>-</v>
      </c>
      <c r="Q197" s="3" t="str">
        <f>IF(I197=0,"-",IF(VLOOKUP(K197,ucty_synt!A:S,4,0)=RIGHT($Q$1,5),IF(SUMIFS(I:I,C:C,C197,K:K,K197)&gt;=0,VLOOKUP(K197,ucty_synt!A:E,5,0),VLOOKUP(K197,ucty_synt!A:L,12,0)),"-"))</f>
        <v>-</v>
      </c>
      <c r="R197" s="459"/>
      <c r="S197" s="8" t="str">
        <f t="shared" si="27"/>
        <v>-</v>
      </c>
      <c r="T197" s="15" t="str">
        <f>IF(S197="-","-",IF(M197="Rozvaha",VLOOKUP(S197,'radky_R'!A:O,14,0),IF(M197="Výsledovka",VLOOKUP(S197,'radky_V'!A:M,12,0),"-")))</f>
        <v>-</v>
      </c>
      <c r="U197" s="20" t="str">
        <f>IF(I197=0,"-",IF(M197="Rozvaha",VLOOKUP(S197,'radky_R'!A:O,8,0),IF(M197="Výsledovka",VLOOKUP(S197,'radky_V'!A:M,8,0),"-")))</f>
        <v>-</v>
      </c>
      <c r="V197" s="20" t="str">
        <f>IF(I197=0,"-",IF(M197="Rozvaha",VLOOKUP(S197,'radky_R'!A:O,9,0),IF(M197="Výsledovka",VLOOKUP(S197,'radky_V'!A:M,9,0),"-")))</f>
        <v>-</v>
      </c>
      <c r="W197" s="104" t="str">
        <f>IF(I197=0,"-",IF(M197="Rozvaha",VLOOKUP(S197,'radky_R'!A:O,15,0),IF(M197="Výsledovka",VLOOKUP(S197,'radky_V'!A:M,11,0),"-")))</f>
        <v>-</v>
      </c>
      <c r="X197" s="5" t="str">
        <f>IF(I197=0,"-",VLOOKUP(K197,ucty_synt!A:S,19,0))</f>
        <v>-</v>
      </c>
      <c r="Y197" s="6">
        <f t="shared" si="23"/>
        <v>0</v>
      </c>
      <c r="Z197" s="650" t="str">
        <f>IF(data[[#This Row],[uc_synt]]="-","-",VLOOKUP(data[[#This Row],[uc_synt]],ucty_synt!A:T,20,0))</f>
        <v>-</v>
      </c>
      <c r="AA197" s="650" t="str">
        <f>IF(COUNTIF(proc_exc!A:A,data[[#This Row],[ucet]])&gt;1,"chyba v proc_exc!",IF(COUNTIF(proc_exc!A:A,data[[#This Row],[ucet]])=1,VLOOKUP(data[[#This Row],[ucet]],proc_exc!A:E,5,0),data[[#This Row],[proces default]]))</f>
        <v>-</v>
      </c>
    </row>
    <row r="198" spans="2:27" x14ac:dyDescent="0.3">
      <c r="B198" s="36"/>
      <c r="C198" s="32"/>
      <c r="J198" s="15" t="str">
        <f t="shared" si="26"/>
        <v xml:space="preserve"> </v>
      </c>
      <c r="K198" s="3" t="str">
        <f>IF(I198=0,"-",VALUE(LEFT(D198,LEN(D198)-(INDEX!$E$13-3))))</f>
        <v>-</v>
      </c>
      <c r="L198" s="5" t="str">
        <f>IF(I198=0,"-",VLOOKUP(K198,ucty_synt!A:B,2,0))</f>
        <v>-</v>
      </c>
      <c r="M198" s="15" t="str">
        <f>IF(S198="-","-",VLOOKUP(K198,ucty_synt!A:S,3,0))</f>
        <v>-</v>
      </c>
      <c r="N198" s="15" t="str">
        <f>IF(I198=0,"-",IF(M198="Rozvaha",VLOOKUP(S198,'radky_R'!A:O,6,0),IF(M198="Výsledovka",VLOOKUP(S198,'radky_V'!A:M,6,0),"-")))</f>
        <v>-</v>
      </c>
      <c r="O198" s="3" t="str">
        <f>IF(I198=0,"-",IF(COUNTIF(ucty_synt!A:A,K198)=0,"účet n/a",IF(VLOOKUP(K198,ucty_synt!A:S,4,0)=RIGHT($P$1,5),"podle AÚ",IF(VLOOKUP(K198,ucty_synt!A:S,4,0)=RIGHT($Q$1,5),"podle SÚ",IF(SUMIF(ucty_synt!A:A,K198,ucty_synt!E:E)&lt;&gt;0,VLOOKUP(K198,ucty_synt!A:T,5,0),"doplnit")))))</f>
        <v>-</v>
      </c>
      <c r="P198" s="3" t="str">
        <f>IF(I198=0,"-",IF(VLOOKUP(K198,ucty_synt!A:S,4,0)=RIGHT($P$1,5),IF(SUMIFS(I:I,C:C,C198,D:D,D198)&gt;=0,VLOOKUP(K198,ucty_synt!A:E,5,0),VLOOKUP(K198,ucty_synt!A:L,12,0)),"-"))</f>
        <v>-</v>
      </c>
      <c r="Q198" s="3" t="str">
        <f>IF(I198=0,"-",IF(VLOOKUP(K198,ucty_synt!A:S,4,0)=RIGHT($Q$1,5),IF(SUMIFS(I:I,C:C,C198,K:K,K198)&gt;=0,VLOOKUP(K198,ucty_synt!A:E,5,0),VLOOKUP(K198,ucty_synt!A:L,12,0)),"-"))</f>
        <v>-</v>
      </c>
      <c r="R198" s="459"/>
      <c r="S198" s="8" t="str">
        <f t="shared" si="27"/>
        <v>-</v>
      </c>
      <c r="T198" s="15" t="str">
        <f>IF(S198="-","-",IF(M198="Rozvaha",VLOOKUP(S198,'radky_R'!A:O,14,0),IF(M198="Výsledovka",VLOOKUP(S198,'radky_V'!A:M,12,0),"-")))</f>
        <v>-</v>
      </c>
      <c r="U198" s="20" t="str">
        <f>IF(I198=0,"-",IF(M198="Rozvaha",VLOOKUP(S198,'radky_R'!A:O,8,0),IF(M198="Výsledovka",VLOOKUP(S198,'radky_V'!A:M,8,0),"-")))</f>
        <v>-</v>
      </c>
      <c r="V198" s="20" t="str">
        <f>IF(I198=0,"-",IF(M198="Rozvaha",VLOOKUP(S198,'radky_R'!A:O,9,0),IF(M198="Výsledovka",VLOOKUP(S198,'radky_V'!A:M,9,0),"-")))</f>
        <v>-</v>
      </c>
      <c r="W198" s="104" t="str">
        <f>IF(I198=0,"-",IF(M198="Rozvaha",VLOOKUP(S198,'radky_R'!A:O,15,0),IF(M198="Výsledovka",VLOOKUP(S198,'radky_V'!A:M,11,0),"-")))</f>
        <v>-</v>
      </c>
      <c r="X198" s="5" t="str">
        <f>IF(I198=0,"-",VLOOKUP(K198,ucty_synt!A:S,19,0))</f>
        <v>-</v>
      </c>
      <c r="Y198" s="6">
        <f t="shared" si="23"/>
        <v>0</v>
      </c>
      <c r="Z198" s="650" t="str">
        <f>IF(data[[#This Row],[uc_synt]]="-","-",VLOOKUP(data[[#This Row],[uc_synt]],ucty_synt!A:T,20,0))</f>
        <v>-</v>
      </c>
      <c r="AA198" s="650" t="str">
        <f>IF(COUNTIF(proc_exc!A:A,data[[#This Row],[ucet]])&gt;1,"chyba v proc_exc!",IF(COUNTIF(proc_exc!A:A,data[[#This Row],[ucet]])=1,VLOOKUP(data[[#This Row],[ucet]],proc_exc!A:E,5,0),data[[#This Row],[proces default]]))</f>
        <v>-</v>
      </c>
    </row>
    <row r="199" spans="2:27" x14ac:dyDescent="0.3">
      <c r="B199" s="36"/>
      <c r="C199" s="32"/>
      <c r="J199" s="15" t="str">
        <f t="shared" si="26"/>
        <v xml:space="preserve"> </v>
      </c>
      <c r="K199" s="3" t="str">
        <f>IF(I199=0,"-",VALUE(LEFT(D199,LEN(D199)-(INDEX!$E$13-3))))</f>
        <v>-</v>
      </c>
      <c r="L199" s="5" t="str">
        <f>IF(I199=0,"-",VLOOKUP(K199,ucty_synt!A:B,2,0))</f>
        <v>-</v>
      </c>
      <c r="M199" s="15" t="str">
        <f>IF(S199="-","-",VLOOKUP(K199,ucty_synt!A:S,3,0))</f>
        <v>-</v>
      </c>
      <c r="N199" s="15" t="str">
        <f>IF(I199=0,"-",IF(M199="Rozvaha",VLOOKUP(S199,'radky_R'!A:O,6,0),IF(M199="Výsledovka",VLOOKUP(S199,'radky_V'!A:M,6,0),"-")))</f>
        <v>-</v>
      </c>
      <c r="O199" s="3" t="str">
        <f>IF(I199=0,"-",IF(COUNTIF(ucty_synt!A:A,K199)=0,"účet n/a",IF(VLOOKUP(K199,ucty_synt!A:S,4,0)=RIGHT($P$1,5),"podle AÚ",IF(VLOOKUP(K199,ucty_synt!A:S,4,0)=RIGHT($Q$1,5),"podle SÚ",IF(SUMIF(ucty_synt!A:A,K199,ucty_synt!E:E)&lt;&gt;0,VLOOKUP(K199,ucty_synt!A:T,5,0),"doplnit")))))</f>
        <v>-</v>
      </c>
      <c r="P199" s="3" t="str">
        <f>IF(I199=0,"-",IF(VLOOKUP(K199,ucty_synt!A:S,4,0)=RIGHT($P$1,5),IF(SUMIFS(I:I,C:C,C199,D:D,D199)&gt;=0,VLOOKUP(K199,ucty_synt!A:E,5,0),VLOOKUP(K199,ucty_synt!A:L,12,0)),"-"))</f>
        <v>-</v>
      </c>
      <c r="Q199" s="3" t="str">
        <f>IF(I199=0,"-",IF(VLOOKUP(K199,ucty_synt!A:S,4,0)=RIGHT($Q$1,5),IF(SUMIFS(I:I,C:C,C199,K:K,K199)&gt;=0,VLOOKUP(K199,ucty_synt!A:E,5,0),VLOOKUP(K199,ucty_synt!A:L,12,0)),"-"))</f>
        <v>-</v>
      </c>
      <c r="R199" s="459"/>
      <c r="S199" s="8" t="str">
        <f t="shared" si="27"/>
        <v>-</v>
      </c>
      <c r="T199" s="15" t="str">
        <f>IF(S199="-","-",IF(M199="Rozvaha",VLOOKUP(S199,'radky_R'!A:O,14,0),IF(M199="Výsledovka",VLOOKUP(S199,'radky_V'!A:M,12,0),"-")))</f>
        <v>-</v>
      </c>
      <c r="U199" s="20" t="str">
        <f>IF(I199=0,"-",IF(M199="Rozvaha",VLOOKUP(S199,'radky_R'!A:O,8,0),IF(M199="Výsledovka",VLOOKUP(S199,'radky_V'!A:M,8,0),"-")))</f>
        <v>-</v>
      </c>
      <c r="V199" s="20" t="str">
        <f>IF(I199=0,"-",IF(M199="Rozvaha",VLOOKUP(S199,'radky_R'!A:O,9,0),IF(M199="Výsledovka",VLOOKUP(S199,'radky_V'!A:M,9,0),"-")))</f>
        <v>-</v>
      </c>
      <c r="W199" s="104" t="str">
        <f>IF(I199=0,"-",IF(M199="Rozvaha",VLOOKUP(S199,'radky_R'!A:O,15,0),IF(M199="Výsledovka",VLOOKUP(S199,'radky_V'!A:M,11,0),"-")))</f>
        <v>-</v>
      </c>
      <c r="X199" s="5" t="str">
        <f>IF(I199=0,"-",VLOOKUP(K199,ucty_synt!A:S,19,0))</f>
        <v>-</v>
      </c>
      <c r="Y199" s="6">
        <f t="shared" si="23"/>
        <v>0</v>
      </c>
      <c r="Z199" s="650" t="str">
        <f>IF(data[[#This Row],[uc_synt]]="-","-",VLOOKUP(data[[#This Row],[uc_synt]],ucty_synt!A:T,20,0))</f>
        <v>-</v>
      </c>
      <c r="AA199" s="650" t="str">
        <f>IF(COUNTIF(proc_exc!A:A,data[[#This Row],[ucet]])&gt;1,"chyba v proc_exc!",IF(COUNTIF(proc_exc!A:A,data[[#This Row],[ucet]])=1,VLOOKUP(data[[#This Row],[ucet]],proc_exc!A:E,5,0),data[[#This Row],[proces default]]))</f>
        <v>-</v>
      </c>
    </row>
    <row r="200" spans="2:27" x14ac:dyDescent="0.3">
      <c r="B200" s="36"/>
      <c r="C200" s="32"/>
      <c r="J200" s="15" t="str">
        <f t="shared" si="26"/>
        <v xml:space="preserve"> </v>
      </c>
      <c r="K200" s="3" t="str">
        <f>IF(I200=0,"-",VALUE(LEFT(D200,LEN(D200)-(INDEX!$E$13-3))))</f>
        <v>-</v>
      </c>
      <c r="L200" s="5" t="str">
        <f>IF(I200=0,"-",VLOOKUP(K200,ucty_synt!A:B,2,0))</f>
        <v>-</v>
      </c>
      <c r="M200" s="15" t="str">
        <f>IF(S200="-","-",VLOOKUP(K200,ucty_synt!A:S,3,0))</f>
        <v>-</v>
      </c>
      <c r="N200" s="15" t="str">
        <f>IF(I200=0,"-",IF(M200="Rozvaha",VLOOKUP(S200,'radky_R'!A:O,6,0),IF(M200="Výsledovka",VLOOKUP(S200,'radky_V'!A:M,6,0),"-")))</f>
        <v>-</v>
      </c>
      <c r="O200" s="3" t="str">
        <f>IF(I200=0,"-",IF(COUNTIF(ucty_synt!A:A,K200)=0,"účet n/a",IF(VLOOKUP(K200,ucty_synt!A:S,4,0)=RIGHT($P$1,5),"podle AÚ",IF(VLOOKUP(K200,ucty_synt!A:S,4,0)=RIGHT($Q$1,5),"podle SÚ",IF(SUMIF(ucty_synt!A:A,K200,ucty_synt!E:E)&lt;&gt;0,VLOOKUP(K200,ucty_synt!A:T,5,0),"doplnit")))))</f>
        <v>-</v>
      </c>
      <c r="P200" s="3" t="str">
        <f>IF(I200=0,"-",IF(VLOOKUP(K200,ucty_synt!A:S,4,0)=RIGHT($P$1,5),IF(SUMIFS(I:I,C:C,C200,D:D,D200)&gt;=0,VLOOKUP(K200,ucty_synt!A:E,5,0),VLOOKUP(K200,ucty_synt!A:L,12,0)),"-"))</f>
        <v>-</v>
      </c>
      <c r="Q200" s="3" t="str">
        <f>IF(I200=0,"-",IF(VLOOKUP(K200,ucty_synt!A:S,4,0)=RIGHT($Q$1,5),IF(SUMIFS(I:I,C:C,C200,K:K,K200)&gt;=0,VLOOKUP(K200,ucty_synt!A:E,5,0),VLOOKUP(K200,ucty_synt!A:L,12,0)),"-"))</f>
        <v>-</v>
      </c>
      <c r="R200" s="459"/>
      <c r="S200" s="8" t="str">
        <f t="shared" si="27"/>
        <v>-</v>
      </c>
      <c r="T200" s="15" t="str">
        <f>IF(S200="-","-",IF(M200="Rozvaha",VLOOKUP(S200,'radky_R'!A:O,14,0),IF(M200="Výsledovka",VLOOKUP(S200,'radky_V'!A:M,12,0),"-")))</f>
        <v>-</v>
      </c>
      <c r="U200" s="20" t="str">
        <f>IF(I200=0,"-",IF(M200="Rozvaha",VLOOKUP(S200,'radky_R'!A:O,8,0),IF(M200="Výsledovka",VLOOKUP(S200,'radky_V'!A:M,8,0),"-")))</f>
        <v>-</v>
      </c>
      <c r="V200" s="20" t="str">
        <f>IF(I200=0,"-",IF(M200="Rozvaha",VLOOKUP(S200,'radky_R'!A:O,9,0),IF(M200="Výsledovka",VLOOKUP(S200,'radky_V'!A:M,9,0),"-")))</f>
        <v>-</v>
      </c>
      <c r="W200" s="104" t="str">
        <f>IF(I200=0,"-",IF(M200="Rozvaha",VLOOKUP(S200,'radky_R'!A:O,15,0),IF(M200="Výsledovka",VLOOKUP(S200,'radky_V'!A:M,11,0),"-")))</f>
        <v>-</v>
      </c>
      <c r="X200" s="5" t="str">
        <f>IF(I200=0,"-",VLOOKUP(K200,ucty_synt!A:S,19,0))</f>
        <v>-</v>
      </c>
      <c r="Y200" s="6">
        <f t="shared" si="23"/>
        <v>0</v>
      </c>
      <c r="Z200" s="650" t="str">
        <f>IF(data[[#This Row],[uc_synt]]="-","-",VLOOKUP(data[[#This Row],[uc_synt]],ucty_synt!A:T,20,0))</f>
        <v>-</v>
      </c>
      <c r="AA200" s="650" t="str">
        <f>IF(COUNTIF(proc_exc!A:A,data[[#This Row],[ucet]])&gt;1,"chyba v proc_exc!",IF(COUNTIF(proc_exc!A:A,data[[#This Row],[ucet]])=1,VLOOKUP(data[[#This Row],[ucet]],proc_exc!A:E,5,0),data[[#This Row],[proces default]]))</f>
        <v>-</v>
      </c>
    </row>
  </sheetData>
  <sheetProtection formatCells="0" formatColumns="0" formatRows="0" insertRows="0" sort="0" autoFilter="0"/>
  <conditionalFormatting sqref="R1:R200">
    <cfRule type="expression" dxfId="137" priority="1" stopIfTrue="1">
      <formula>O1="účet n/a"</formula>
    </cfRule>
    <cfRule type="expression" dxfId="136" priority="2">
      <formula>AND(O1="doplnit",ISBLANK(R1))</formula>
    </cfRule>
    <cfRule type="cellIs" dxfId="135" priority="3" operator="notEqual">
      <formula>0</formula>
    </cfRule>
  </conditionalFormatting>
  <conditionalFormatting sqref="R195:R1048576">
    <cfRule type="expression" dxfId="134" priority="10" stopIfTrue="1">
      <formula>O195="účet n/a"</formula>
    </cfRule>
    <cfRule type="expression" dxfId="133" priority="11">
      <formula>AND(O195="doplnit",ISBLANK(R195))</formula>
    </cfRule>
    <cfRule type="cellIs" dxfId="132" priority="12" operator="notEqual">
      <formula>0</formula>
    </cfRule>
  </conditionalFormatting>
  <pageMargins left="0.39370078740157483" right="0.39370078740157483" top="0" bottom="0.39370078740157483" header="0" footer="0"/>
  <pageSetup paperSize="9" scale="90" fitToHeight="0" orientation="landscape" verticalDpi="300" r:id="rId1"/>
  <headerFooter scaleWithDoc="0" alignWithMargins="0">
    <oddFooter>&amp;L&amp;G&amp;C&amp;"-,Obyčejné"&amp;8&amp;K00-049Tisk: &amp;D &amp;T&amp;R&amp;"-,Obyčejné"&amp;8&amp;K00-049&amp;F</oddFooter>
  </headerFooter>
  <legacyDrawingHF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4">
    <tabColor theme="0" tint="-0.499984740745262"/>
  </sheetPr>
  <dimension ref="A1:Z85"/>
  <sheetViews>
    <sheetView showGridLines="0" showZeros="0" zoomScale="80" zoomScaleNormal="80" workbookViewId="0">
      <pane ySplit="7" topLeftCell="A16" activePane="bottomLeft" state="frozen"/>
      <selection activeCell="G7" sqref="G7:I7"/>
      <selection pane="bottomLeft" activeCell="N17" sqref="N17"/>
    </sheetView>
  </sheetViews>
  <sheetFormatPr defaultColWidth="0" defaultRowHeight="25.8" zeroHeight="1" x14ac:dyDescent="0.3"/>
  <cols>
    <col min="1" max="1" width="3.88671875" style="428" hidden="1" customWidth="1"/>
    <col min="2" max="2" width="5.109375" style="428" hidden="1" customWidth="1"/>
    <col min="3" max="3" width="6.44140625" style="429" hidden="1" customWidth="1"/>
    <col min="4" max="4" width="8.88671875" style="428" hidden="1" customWidth="1"/>
    <col min="5" max="5" width="8.44140625" style="428" hidden="1" customWidth="1"/>
    <col min="6" max="6" width="2.6640625" style="26" customWidth="1"/>
    <col min="7" max="11" width="2.88671875" style="125" customWidth="1"/>
    <col min="12" max="12" width="60.6640625" style="125" customWidth="1"/>
    <col min="13" max="13" width="6.44140625" style="125" customWidth="1"/>
    <col min="14" max="17" width="18.6640625" style="125" customWidth="1"/>
    <col min="18" max="18" width="2.6640625" style="12" customWidth="1"/>
    <col min="19" max="19" width="4.6640625" style="25" customWidth="1"/>
    <col min="20" max="20" width="4.5546875" style="25" customWidth="1"/>
    <col min="21" max="21" width="2.6640625" style="11" customWidth="1"/>
    <col min="22" max="26" width="0" style="11" hidden="1" customWidth="1"/>
    <col min="27" max="16384" width="9.109375" style="11" hidden="1"/>
  </cols>
  <sheetData>
    <row r="1" spans="1:20" s="10" customFormat="1" x14ac:dyDescent="0.5">
      <c r="A1" s="428"/>
      <c r="B1" s="425"/>
      <c r="C1" s="429"/>
      <c r="D1" s="428"/>
      <c r="E1" s="428"/>
      <c r="F1" s="126"/>
      <c r="G1" s="127" t="str">
        <f>IF(jazyk="česky","ROZVAHA v plném rozsahu",IF(jazyk="anglicky","BALANCE SHEET in full format",IF(jazyk="německy","BILANZ in vollständiger Fassung","-")))</f>
        <v>ROZVAHA v plném rozsahu</v>
      </c>
      <c r="H1" s="52"/>
      <c r="I1" s="52"/>
      <c r="J1" s="52"/>
      <c r="K1" s="52"/>
      <c r="L1" s="52"/>
      <c r="M1" s="53"/>
      <c r="N1" s="53"/>
      <c r="O1" s="53"/>
      <c r="P1" s="128"/>
      <c r="Q1" s="129">
        <f>INDEX!C6</f>
        <v>0</v>
      </c>
      <c r="R1" s="9"/>
      <c r="S1" s="130"/>
      <c r="T1" s="130"/>
    </row>
    <row r="2" spans="1:20" ht="15.6" x14ac:dyDescent="0.3">
      <c r="F2" s="31"/>
      <c r="G2" s="54" t="str">
        <f>CONCATENATE(IF(jazyk="česky","ke dni",IF(jazyk="anglicky","as at",IF(jazyk="německy","zum","-"))),"   ",DAY(INDEX!D11),".",MONTH(INDEX!D11),".",YEAR(INDEX!D11))</f>
        <v>ke dni   31.12.2025</v>
      </c>
      <c r="H2" s="57"/>
      <c r="I2" s="57"/>
      <c r="J2" s="57"/>
      <c r="K2" s="57"/>
      <c r="L2" s="57"/>
      <c r="M2" s="59"/>
      <c r="N2" s="59"/>
      <c r="O2" s="57"/>
      <c r="P2" s="57"/>
      <c r="Q2" s="58">
        <f>INDEX!C8</f>
        <v>0</v>
      </c>
    </row>
    <row r="3" spans="1:20" ht="15.6" x14ac:dyDescent="0.3">
      <c r="F3" s="31"/>
      <c r="G3" s="54" t="str">
        <f>CONCATENATE("(",VLOOKUP(zaokr,INDEX!I17:J18,2,0),")")</f>
        <v>(v celých tisících Kč)</v>
      </c>
      <c r="H3" s="57"/>
      <c r="I3" s="57"/>
      <c r="J3" s="57"/>
      <c r="K3" s="57"/>
      <c r="L3" s="57"/>
      <c r="M3" s="59"/>
      <c r="N3" s="59"/>
      <c r="O3" s="57"/>
      <c r="P3" s="60" t="s">
        <v>286</v>
      </c>
      <c r="Q3" s="58">
        <f>INDEX!C4</f>
        <v>0</v>
      </c>
    </row>
    <row r="4" spans="1:20" ht="24" thickBot="1" x14ac:dyDescent="0.35">
      <c r="F4" s="17"/>
      <c r="G4" s="57"/>
      <c r="H4" s="57"/>
      <c r="I4" s="57"/>
      <c r="J4" s="57"/>
      <c r="K4" s="57"/>
      <c r="L4" s="57"/>
      <c r="M4" s="659" t="s">
        <v>1281</v>
      </c>
      <c r="N4" s="105" t="s">
        <v>255</v>
      </c>
      <c r="O4" s="105" t="s">
        <v>257</v>
      </c>
      <c r="P4" s="105" t="s">
        <v>260</v>
      </c>
      <c r="Q4" s="106"/>
      <c r="S4" s="11"/>
      <c r="T4" s="11"/>
    </row>
    <row r="5" spans="1:20" ht="23.4" x14ac:dyDescent="0.3">
      <c r="C5" s="429" t="s">
        <v>516</v>
      </c>
      <c r="F5" s="18"/>
      <c r="G5" s="771" t="str">
        <f>IF(jazyk="česky","Označení",IF(jazyk="anglicky","Ident.",IF(jazyk="německy","Ident.","-")))</f>
        <v>Označení</v>
      </c>
      <c r="H5" s="772"/>
      <c r="I5" s="772"/>
      <c r="J5" s="357"/>
      <c r="K5" s="357"/>
      <c r="L5" s="62" t="str">
        <f>IF(jazyk="česky","AKTIVA",IF(jazyk="anglicky","ASSETS",IF(jazyk="německy","AKTIVA","-")))</f>
        <v>AKTIVA</v>
      </c>
      <c r="M5" s="63" t="str">
        <f>IF(jazyk="česky","Číslo",IF(jazyk="anglicky"," ",IF(jazyk="německy"," ","-")))</f>
        <v>Číslo</v>
      </c>
      <c r="N5" s="775" t="str">
        <f>IF(jazyk="česky","Běžné účetní období",IF(jazyk="anglicky","Current period",IF(jazyk="německy","Laufende Periode","-")))</f>
        <v>Běžné účetní období</v>
      </c>
      <c r="O5" s="776"/>
      <c r="P5" s="777"/>
      <c r="Q5" s="107" t="str">
        <f>IF(jazyk="česky","Minulé účetní období",IF(jazyk="anglicky","Prior period",IF(jazyk="německy","Vorjahr","-")))</f>
        <v>Minulé účetní období</v>
      </c>
      <c r="R5" s="11"/>
      <c r="S5" s="285">
        <f>ROUND(SUMIFS(DATA!$Y:$Y,DATA!$C:$C,INDEX!$D$11,DATA!$N:$N,$C5),0)-SUMIF($D:$D,"AKT",N:N)-SUMIF($D:$D,"AKT",O:O)+SUM(S8:S84)</f>
        <v>0</v>
      </c>
      <c r="T5" s="285">
        <f>ROUND(SUMIFS(DATA!$Y:$Y,DATA!$C:$C,INDEX!$E$11,DATA!$N:$N,$C5),0)-Q8++SUM(T8:T84)</f>
        <v>0</v>
      </c>
    </row>
    <row r="6" spans="1:20" ht="12.75" customHeight="1" x14ac:dyDescent="0.3">
      <c r="F6" s="18"/>
      <c r="G6" s="64"/>
      <c r="H6" s="65"/>
      <c r="I6" s="65"/>
      <c r="J6" s="65"/>
      <c r="K6" s="65"/>
      <c r="L6" s="67"/>
      <c r="M6" s="68" t="str">
        <f>IF(jazyk="česky","řádku",IF(jazyk="anglicky","Line",IF(jazyk="německy","Zeile","-")))</f>
        <v>řádku</v>
      </c>
      <c r="N6" s="108" t="str">
        <f>IF(jazyk="česky","Brutto",IF(jazyk="anglicky","Gross",IF(jazyk="německy","Brutto","-")))</f>
        <v>Brutto</v>
      </c>
      <c r="O6" s="109" t="str">
        <f>IF(jazyk="česky","Korekce",IF(jazyk="anglicky","Adjustments",IF(jazyk="německy","Korrekturen","-")))</f>
        <v>Korekce</v>
      </c>
      <c r="P6" s="110" t="str">
        <f>IF(jazyk="česky","Netto",IF(jazyk="anglicky","Net",IF(jazyk="německy","Netto","-")))</f>
        <v>Netto</v>
      </c>
      <c r="Q6" s="111" t="str">
        <f>IF(jazyk="česky","Netto",IF(jazyk="anglicky","Net",IF(jazyk="německy","Netto","-")))</f>
        <v>Netto</v>
      </c>
      <c r="R6" s="11"/>
      <c r="S6" s="286" t="s">
        <v>349</v>
      </c>
      <c r="T6" s="286" t="s">
        <v>350</v>
      </c>
    </row>
    <row r="7" spans="1:20" ht="13.5" customHeight="1" thickBot="1" x14ac:dyDescent="0.35">
      <c r="A7" s="428" t="s">
        <v>1244</v>
      </c>
      <c r="B7" s="428" t="s">
        <v>258</v>
      </c>
      <c r="C7" s="429" t="s">
        <v>516</v>
      </c>
      <c r="D7" s="428" t="s">
        <v>677</v>
      </c>
      <c r="E7" s="428" t="s">
        <v>1007</v>
      </c>
      <c r="F7" s="18"/>
      <c r="G7" s="773" t="s">
        <v>259</v>
      </c>
      <c r="H7" s="774"/>
      <c r="I7" s="774"/>
      <c r="J7" s="361"/>
      <c r="K7" s="359"/>
      <c r="L7" s="112" t="s">
        <v>237</v>
      </c>
      <c r="M7" s="113" t="s">
        <v>238</v>
      </c>
      <c r="N7" s="108">
        <v>1</v>
      </c>
      <c r="O7" s="109">
        <v>2</v>
      </c>
      <c r="P7" s="110">
        <v>3</v>
      </c>
      <c r="Q7" s="114">
        <v>4</v>
      </c>
      <c r="R7" s="11"/>
      <c r="S7" s="287">
        <f>ROUND(SUMIFS(DATA!$Y:$Y,DATA!$C:$C,INDEX!$D$11,DATA!$N:$N,$C7),0)-SUMIF($D:$D,"AKT",N:N)-SUMIF($D:$D,"AKT",O:O)</f>
        <v>0</v>
      </c>
      <c r="T7" s="287">
        <f>ROUND($A74*SUMIFS(DATA!$Y:$Y,DATA!$C:$C,INDEX!$E$11,DATA!$N:$N,$C7),0)-Q8</f>
        <v>0</v>
      </c>
    </row>
    <row r="8" spans="1:20" ht="26.4" thickBot="1" x14ac:dyDescent="0.35">
      <c r="A8" s="428">
        <v>1</v>
      </c>
      <c r="B8" s="651">
        <v>1</v>
      </c>
      <c r="C8" s="429" t="s">
        <v>516</v>
      </c>
      <c r="D8" s="428" t="s">
        <v>262</v>
      </c>
      <c r="E8" s="428" t="s">
        <v>1013</v>
      </c>
      <c r="F8" s="27"/>
      <c r="G8" s="460"/>
      <c r="H8" s="461"/>
      <c r="I8" s="461"/>
      <c r="J8" s="461"/>
      <c r="K8" s="461"/>
      <c r="L8" s="462" t="str">
        <f>VLOOKUP(B8,'radky_R'!A:O,15,0)</f>
        <v>AKTIVA CELKEM      (ř. 02 + 03 + 37 + 74)</v>
      </c>
      <c r="M8" s="463">
        <v>1</v>
      </c>
      <c r="N8" s="378">
        <f>IF($E8="calc",ROUND($A8*SUMIFS(DATA!$Y:$Y,DATA!$C:$C,INDEX!$D$11,DATA!$X:$X,N$4,DATA!$N:$N,$C8,DATA!$S:$S,$B8),0)+S8,SUMIFS(N:N,$D:$D,$E8))</f>
        <v>0</v>
      </c>
      <c r="O8" s="378">
        <f>IF($E8="calc",ROUND($A8*SUMIFS(DATA!$Y:$Y,DATA!$C:$C,INDEX!$D$11,DATA!$X:$X,O$4,DATA!$N:$N,$C8,DATA!$S:$S,$B8),0)+S8,SUMIFS(O:O,$D:$D,$E8))</f>
        <v>0</v>
      </c>
      <c r="P8" s="378">
        <f t="shared" ref="P8:P71" si="0">N8+O8</f>
        <v>0</v>
      </c>
      <c r="Q8" s="379">
        <f>IF($E8="calc",ROUND($A8*SUMIFS(DATA!$Y:$Y,DATA!$C:$C,INDEX!$E$11,DATA!$N:$N,$C8,DATA!$S:$S,$B8),0)+T8,SUMIFS(Q:Q,$D:$D,$E8))</f>
        <v>0</v>
      </c>
      <c r="R8" s="11"/>
      <c r="S8" s="761"/>
      <c r="T8" s="761"/>
    </row>
    <row r="9" spans="1:20" ht="26.4" thickBot="1" x14ac:dyDescent="0.35">
      <c r="A9" s="428">
        <v>1</v>
      </c>
      <c r="B9" s="651">
        <v>2</v>
      </c>
      <c r="C9" s="429" t="s">
        <v>516</v>
      </c>
      <c r="D9" s="428" t="s">
        <v>1013</v>
      </c>
      <c r="E9" s="428" t="s">
        <v>1006</v>
      </c>
      <c r="F9" s="27"/>
      <c r="G9" s="464" t="s">
        <v>239</v>
      </c>
      <c r="H9" s="465"/>
      <c r="I9" s="466"/>
      <c r="J9" s="466"/>
      <c r="K9" s="466"/>
      <c r="L9" s="467" t="str">
        <f>VLOOKUP(B9,'radky_R'!A:O,15,0)</f>
        <v>Pohledávky za upsaný základní kapitál</v>
      </c>
      <c r="M9" s="468">
        <f>IF($M$4="f",B9,IF($M$4="z",IF(OR(N9&lt;&gt;0,O9&lt;&gt;0,P9&lt;&gt;0,Q9&lt;&gt;0),B9,"-"),IF($M$4="m",IF(OR(N9&lt;&gt;0,O9&lt;&gt;0,P9&lt;&gt;0,Q9&lt;&gt;0),MAX(M$8:M8)+1,"-"))))</f>
        <v>2</v>
      </c>
      <c r="N9" s="380">
        <f>IF($E9="calc",ROUND($A9*SUMIFS(DATA!$Y:$Y,DATA!$C:$C,INDEX!$D$11,DATA!$X:$X,N$4,DATA!$N:$N,$C9,DATA!$S:$S,$B9),0)+S9,SUMIFS(N:N,$D:$D,$E9))</f>
        <v>0</v>
      </c>
      <c r="O9" s="380">
        <f>IF($E9="calc",ROUND($A9*SUMIFS(DATA!$Y:$Y,DATA!$C:$C,INDEX!$D$11,DATA!$X:$X,O$4,DATA!$N:$N,$C9,DATA!$S:$S,$B9),0)+S9,SUMIFS(O:O,$D:$D,$E9))</f>
        <v>0</v>
      </c>
      <c r="P9" s="380">
        <f t="shared" si="0"/>
        <v>0</v>
      </c>
      <c r="Q9" s="381">
        <f>IF($E9="calc",ROUND($A9*SUMIFS(DATA!$Y:$Y,DATA!$C:$C,INDEX!$E$11,DATA!$N:$N,$C9,DATA!$S:$S,$B9),0)+T9,SUMIFS(Q:Q,$D:$D,$E9))</f>
        <v>0</v>
      </c>
      <c r="R9" s="11"/>
      <c r="S9" s="753"/>
      <c r="T9" s="754"/>
    </row>
    <row r="10" spans="1:20" x14ac:dyDescent="0.3">
      <c r="A10" s="428">
        <v>1</v>
      </c>
      <c r="B10" s="651">
        <v>3</v>
      </c>
      <c r="C10" s="429" t="s">
        <v>516</v>
      </c>
      <c r="D10" s="428" t="s">
        <v>1013</v>
      </c>
      <c r="E10" s="428" t="s">
        <v>240</v>
      </c>
      <c r="F10" s="27"/>
      <c r="G10" s="469" t="s">
        <v>240</v>
      </c>
      <c r="H10" s="470"/>
      <c r="I10" s="471"/>
      <c r="J10" s="471"/>
      <c r="K10" s="471"/>
      <c r="L10" s="472" t="str">
        <f>VLOOKUP(B10,'radky_R'!A:O,15,0)</f>
        <v>Stálá aktiva      (ř. 04 + 14 + 27)</v>
      </c>
      <c r="M10" s="473">
        <f>IF($M$4="f",B10,IF($M$4="z",IF(OR(N10&lt;&gt;0,O10&lt;&gt;0,P10&lt;&gt;0,Q10&lt;&gt;0),B10,"-"),IF($M$4="m",IF(OR(N10&lt;&gt;0,O10&lt;&gt;0,P10&lt;&gt;0,Q10&lt;&gt;0),MAX(M$8:M9)+1,"-"))))</f>
        <v>3</v>
      </c>
      <c r="N10" s="115">
        <f>IF($E10="calc",ROUND($A10*SUMIFS(DATA!$Y:$Y,DATA!$C:$C,INDEX!$D$11,DATA!$X:$X,N$4,DATA!$N:$N,$C10,DATA!$S:$S,$B10),0)+S10,SUMIFS(N:N,$D:$D,$E10))</f>
        <v>0</v>
      </c>
      <c r="O10" s="115">
        <f>IF($E10="calc",ROUND($A10*SUMIFS(DATA!$Y:$Y,DATA!$C:$C,INDEX!$D$11,DATA!$X:$X,O$4,DATA!$N:$N,$C10,DATA!$S:$S,$B10),0)+S10,SUMIFS(O:O,$D:$D,$E10))</f>
        <v>0</v>
      </c>
      <c r="P10" s="115">
        <f t="shared" si="0"/>
        <v>0</v>
      </c>
      <c r="Q10" s="116">
        <f>IF($E10="calc",ROUND($A10*SUMIFS(DATA!$Y:$Y,DATA!$C:$C,INDEX!$E$11,DATA!$N:$N,$C10,DATA!$S:$S,$B10),0)+T10,SUMIFS(Q:Q,$D:$D,$E10))</f>
        <v>0</v>
      </c>
      <c r="R10" s="11"/>
      <c r="S10" s="759"/>
      <c r="T10" s="759"/>
    </row>
    <row r="11" spans="1:20" x14ac:dyDescent="0.3">
      <c r="A11" s="428">
        <v>1</v>
      </c>
      <c r="B11" s="651">
        <v>4</v>
      </c>
      <c r="C11" s="429" t="s">
        <v>516</v>
      </c>
      <c r="D11" s="428" t="s">
        <v>240</v>
      </c>
      <c r="E11" s="428" t="s">
        <v>1008</v>
      </c>
      <c r="F11" s="27"/>
      <c r="G11" s="474" t="s">
        <v>240</v>
      </c>
      <c r="H11" s="475" t="s">
        <v>241</v>
      </c>
      <c r="I11" s="476"/>
      <c r="J11" s="476"/>
      <c r="K11" s="476"/>
      <c r="L11" s="477" t="str">
        <f>VLOOKUP(B11,'radky_R'!A:O,15,0)</f>
        <v>Dlouhodobý nehmotný majetek      (ř. 05 + 06 + 09 + 10 + 11)</v>
      </c>
      <c r="M11" s="478">
        <f>IF($M$4="f",B11,IF($M$4="z",IF(OR(N11&lt;&gt;0,O11&lt;&gt;0,P11&lt;&gt;0,Q11&lt;&gt;0),B11,"-"),IF($M$4="m",IF(OR(N11&lt;&gt;0,O11&lt;&gt;0,P11&lt;&gt;0,Q11&lt;&gt;0),MAX(M$8:M10)+1,"-"))))</f>
        <v>4</v>
      </c>
      <c r="N11" s="118">
        <f>IF($E11="calc",ROUND($A11*SUMIFS(DATA!$Y:$Y,DATA!$C:$C,INDEX!$D$11,DATA!$X:$X,N$4,DATA!$N:$N,$C11,DATA!$S:$S,$B11),0)+S11,SUMIFS(N:N,$D:$D,$E11))</f>
        <v>0</v>
      </c>
      <c r="O11" s="118">
        <f>IF($E11="calc",ROUND($A11*SUMIFS(DATA!$Y:$Y,DATA!$C:$C,INDEX!$D$11,DATA!$X:$X,O$4,DATA!$N:$N,$C11,DATA!$S:$S,$B11),0),SUMIFS(O:O,$D:$D,$E11))</f>
        <v>0</v>
      </c>
      <c r="P11" s="118">
        <f t="shared" si="0"/>
        <v>0</v>
      </c>
      <c r="Q11" s="119">
        <f>IF($E11="calc",ROUND($A11*SUMIFS(DATA!$Y:$Y,DATA!$C:$C,INDEX!$E$11,DATA!$N:$N,$C11,DATA!$S:$S,$B11),0)+T11,SUMIFS(Q:Q,$D:$D,$E11))</f>
        <v>0</v>
      </c>
      <c r="R11" s="11"/>
      <c r="S11" s="760"/>
      <c r="T11" s="760"/>
    </row>
    <row r="12" spans="1:20" x14ac:dyDescent="0.3">
      <c r="A12" s="428">
        <v>1</v>
      </c>
      <c r="B12" s="651">
        <v>5</v>
      </c>
      <c r="C12" s="429" t="s">
        <v>516</v>
      </c>
      <c r="D12" s="428" t="s">
        <v>1008</v>
      </c>
      <c r="E12" s="428" t="s">
        <v>1006</v>
      </c>
      <c r="F12" s="27"/>
      <c r="G12" s="479" t="s">
        <v>240</v>
      </c>
      <c r="H12" s="480" t="s">
        <v>241</v>
      </c>
      <c r="I12" s="480" t="s">
        <v>242</v>
      </c>
      <c r="J12" s="480"/>
      <c r="K12" s="481"/>
      <c r="L12" s="482" t="str">
        <f>VLOOKUP(B12,'radky_R'!A:O,15,0)</f>
        <v xml:space="preserve">Nehmotné výsledky vývoje </v>
      </c>
      <c r="M12" s="483">
        <f>IF($M$4="f",B12,IF($M$4="z",IF(OR(N12&lt;&gt;0,O12&lt;&gt;0,P12&lt;&gt;0,Q12&lt;&gt;0),B12,"-"),IF($M$4="m",IF(OR(N12&lt;&gt;0,O12&lt;&gt;0,P12&lt;&gt;0,Q12&lt;&gt;0),MAX(M$8:M11)+1,"-"))))</f>
        <v>5</v>
      </c>
      <c r="N12" s="362">
        <f>IF($E12="calc",ROUND($A12*SUMIFS(DATA!$Y:$Y,DATA!$C:$C,INDEX!$D$11,DATA!$X:$X,N$4,DATA!$N:$N,$C12,DATA!$S:$S,$B12),0)+S12,SUMIFS(N:N,$D:$D,$E12))</f>
        <v>0</v>
      </c>
      <c r="O12" s="362">
        <f>IF($E12="calc",ROUND($A12*SUMIFS(DATA!$Y:$Y,DATA!$C:$C,INDEX!$D$11,DATA!$X:$X,O$4,DATA!$N:$N,$C12,DATA!$S:$S,$B12),0),SUMIFS(O:O,$D:$D,$E12))</f>
        <v>0</v>
      </c>
      <c r="P12" s="362">
        <f>N12+O12</f>
        <v>0</v>
      </c>
      <c r="Q12" s="363">
        <f>IF($E12="calc",ROUND($A12*SUMIFS(DATA!$Y:$Y,DATA!$C:$C,INDEX!$E$11,DATA!$N:$N,$C12,DATA!$S:$S,$B12),0)+T12,SUMIFS(Q:Q,$D:$D,$E12))</f>
        <v>0</v>
      </c>
      <c r="R12" s="11"/>
      <c r="S12" s="753"/>
      <c r="T12" s="754"/>
    </row>
    <row r="13" spans="1:20" x14ac:dyDescent="0.3">
      <c r="A13" s="428">
        <v>1</v>
      </c>
      <c r="B13" s="651">
        <v>6</v>
      </c>
      <c r="C13" s="429" t="s">
        <v>516</v>
      </c>
      <c r="D13" s="428" t="s">
        <v>1008</v>
      </c>
      <c r="E13" s="428" t="s">
        <v>1009</v>
      </c>
      <c r="F13" s="27"/>
      <c r="G13" s="479" t="s">
        <v>240</v>
      </c>
      <c r="H13" s="484" t="s">
        <v>241</v>
      </c>
      <c r="I13" s="480" t="s">
        <v>243</v>
      </c>
      <c r="J13" s="480"/>
      <c r="K13" s="481"/>
      <c r="L13" s="485" t="str">
        <f>VLOOKUP(B13,'radky_R'!A:O,15,0)</f>
        <v>Ocenitelná práva</v>
      </c>
      <c r="M13" s="486">
        <f>IF($M$4="f",B13,IF($M$4="z",IF(OR(N13&lt;&gt;0,O13&lt;&gt;0,P13&lt;&gt;0,Q13&lt;&gt;0),B13,"-"),IF($M$4="m",IF(OR(N13&lt;&gt;0,O13&lt;&gt;0,P13&lt;&gt;0,Q13&lt;&gt;0),MAX(M$8:M12)+1,"-"))))</f>
        <v>6</v>
      </c>
      <c r="N13" s="364">
        <f>IF($E13="calc",ROUND($A13*SUMIFS(DATA!$Y:$Y,DATA!$C:$C,INDEX!$D$11,DATA!$X:$X,N$4,DATA!$N:$N,$C13,DATA!$S:$S,$B13),0)+S13,SUMIFS(N:N,$D:$D,$E13))</f>
        <v>0</v>
      </c>
      <c r="O13" s="364">
        <f>IF($E13="calc",ROUND($A13*SUMIFS(DATA!$Y:$Y,DATA!$C:$C,INDEX!$D$11,DATA!$X:$X,O$4,DATA!$N:$N,$C13,DATA!$S:$S,$B13),0),SUMIFS(O:O,$D:$D,$E13))</f>
        <v>0</v>
      </c>
      <c r="P13" s="364">
        <f t="shared" si="0"/>
        <v>0</v>
      </c>
      <c r="Q13" s="365">
        <f>IF($E13="calc",ROUND($A13*SUMIFS(DATA!$Y:$Y,DATA!$C:$C,INDEX!$E$11,DATA!$N:$N,$C13,DATA!$S:$S,$B13),0)+T13,SUMIFS(Q:Q,$D:$D,$E13))</f>
        <v>0</v>
      </c>
      <c r="R13" s="11"/>
      <c r="S13" s="761"/>
      <c r="T13" s="761"/>
    </row>
    <row r="14" spans="1:20" s="367" customFormat="1" x14ac:dyDescent="0.3">
      <c r="A14" s="428">
        <v>1</v>
      </c>
      <c r="B14" s="652">
        <v>7</v>
      </c>
      <c r="C14" s="429" t="s">
        <v>516</v>
      </c>
      <c r="D14" s="434" t="s">
        <v>1009</v>
      </c>
      <c r="E14" s="434" t="s">
        <v>1006</v>
      </c>
      <c r="F14" s="366"/>
      <c r="G14" s="487"/>
      <c r="H14" s="488"/>
      <c r="I14" s="489"/>
      <c r="J14" s="490" t="s">
        <v>242</v>
      </c>
      <c r="K14" s="491"/>
      <c r="L14" s="492" t="str">
        <f>VLOOKUP(B14,'radky_R'!A:O,15,0)</f>
        <v>Software</v>
      </c>
      <c r="M14" s="493">
        <f>IF($M$4="f",B14,IF($M$4="z",IF(OR(N14&lt;&gt;0,O14&lt;&gt;0,P14&lt;&gt;0,Q14&lt;&gt;0),B14,"-"),IF($M$4="m",IF(OR(N14&lt;&gt;0,O14&lt;&gt;0,P14&lt;&gt;0,Q14&lt;&gt;0),MAX(M$8:M13)+1,"-"))))</f>
        <v>7</v>
      </c>
      <c r="N14" s="368">
        <f>IF($E14="calc",ROUND($A14*SUMIFS(DATA!$Y:$Y,DATA!$C:$C,INDEX!$D$11,DATA!$X:$X,N$4,DATA!$N:$N,$C14,DATA!$S:$S,$B14),0)+S14,SUMIFS(N:N,$D:$D,$E14))</f>
        <v>0</v>
      </c>
      <c r="O14" s="368">
        <f>IF($E14="calc",ROUND($A14*SUMIFS(DATA!$Y:$Y,DATA!$C:$C,INDEX!$D$11,DATA!$X:$X,O$4,DATA!$N:$N,$C14,DATA!$S:$S,$B14),0),SUMIFS(O:O,$D:$D,$E14))</f>
        <v>0</v>
      </c>
      <c r="P14" s="368">
        <f t="shared" si="0"/>
        <v>0</v>
      </c>
      <c r="Q14" s="369">
        <f>IF($E14="calc",ROUND($A14*SUMIFS(DATA!$Y:$Y,DATA!$C:$C,INDEX!$E$11,DATA!$N:$N,$C14,DATA!$S:$S,$B14),0)+T14,SUMIFS(Q:Q,$D:$D,$E14))</f>
        <v>0</v>
      </c>
      <c r="S14" s="741"/>
      <c r="T14" s="742"/>
    </row>
    <row r="15" spans="1:20" s="367" customFormat="1" x14ac:dyDescent="0.3">
      <c r="A15" s="428">
        <v>1</v>
      </c>
      <c r="B15" s="652">
        <v>8</v>
      </c>
      <c r="C15" s="429" t="s">
        <v>516</v>
      </c>
      <c r="D15" s="434" t="s">
        <v>1009</v>
      </c>
      <c r="E15" s="434" t="s">
        <v>1006</v>
      </c>
      <c r="F15" s="366"/>
      <c r="G15" s="487"/>
      <c r="H15" s="488"/>
      <c r="I15" s="489"/>
      <c r="J15" s="490" t="s">
        <v>243</v>
      </c>
      <c r="K15" s="491"/>
      <c r="L15" s="494" t="str">
        <f>VLOOKUP(B15,'radky_R'!A:O,15,0)</f>
        <v>Ostatní ocenitelná práva</v>
      </c>
      <c r="M15" s="495">
        <f>IF($M$4="f",B15,IF($M$4="z",IF(OR(N15&lt;&gt;0,O15&lt;&gt;0,P15&lt;&gt;0,Q15&lt;&gt;0),B15,"-"),IF($M$4="m",IF(OR(N15&lt;&gt;0,O15&lt;&gt;0,P15&lt;&gt;0,Q15&lt;&gt;0),MAX(M$8:M14)+1,"-"))))</f>
        <v>8</v>
      </c>
      <c r="N15" s="370">
        <f>IF($E15="calc",ROUND($A15*SUMIFS(DATA!$Y:$Y,DATA!$C:$C,INDEX!$D$11,DATA!$X:$X,N$4,DATA!$N:$N,$C15,DATA!$S:$S,$B15),0)+S15,SUMIFS(N:N,$D:$D,$E15))</f>
        <v>0</v>
      </c>
      <c r="O15" s="370">
        <f>IF($E15="calc",ROUND($A15*SUMIFS(DATA!$Y:$Y,DATA!$C:$C,INDEX!$D$11,DATA!$X:$X,O$4,DATA!$N:$N,$C15,DATA!$S:$S,$B15),0),SUMIFS(O:O,$D:$D,$E15))</f>
        <v>0</v>
      </c>
      <c r="P15" s="370">
        <f t="shared" si="0"/>
        <v>0</v>
      </c>
      <c r="Q15" s="371">
        <f>IF($E15="calc",ROUND($A15*SUMIFS(DATA!$Y:$Y,DATA!$C:$C,INDEX!$E$11,DATA!$N:$N,$C15,DATA!$S:$S,$B15),0)+T15,SUMIFS(Q:Q,$D:$D,$E15))</f>
        <v>0</v>
      </c>
      <c r="S15" s="743"/>
      <c r="T15" s="744"/>
    </row>
    <row r="16" spans="1:20" x14ac:dyDescent="0.3">
      <c r="A16" s="428">
        <v>1</v>
      </c>
      <c r="B16" s="651">
        <v>9</v>
      </c>
      <c r="C16" s="429" t="s">
        <v>516</v>
      </c>
      <c r="D16" s="428" t="s">
        <v>1008</v>
      </c>
      <c r="E16" s="428" t="s">
        <v>1006</v>
      </c>
      <c r="F16" s="27"/>
      <c r="G16" s="496" t="s">
        <v>240</v>
      </c>
      <c r="H16" s="484" t="s">
        <v>241</v>
      </c>
      <c r="I16" s="480" t="s">
        <v>244</v>
      </c>
      <c r="J16" s="480"/>
      <c r="K16" s="481"/>
      <c r="L16" s="497" t="str">
        <f>VLOOKUP(B16,'radky_R'!A:O,15,0)</f>
        <v>Goodwill</v>
      </c>
      <c r="M16" s="498">
        <f>IF($M$4="f",B16,IF($M$4="z",IF(OR(N16&lt;&gt;0,O16&lt;&gt;0,P16&lt;&gt;0,Q16&lt;&gt;0),B16,"-"),IF($M$4="m",IF(OR(N16&lt;&gt;0,O16&lt;&gt;0,P16&lt;&gt;0,Q16&lt;&gt;0),MAX(M$8:M15)+1,"-"))))</f>
        <v>9</v>
      </c>
      <c r="N16" s="121">
        <f>IF($E16="calc",ROUND($A16*SUMIFS(DATA!$Y:$Y,DATA!$C:$C,INDEX!$D$11,DATA!$X:$X,N$4,DATA!$N:$N,$C16,DATA!$S:$S,$B16),0)+S16,SUMIFS(N:N,$D:$D,$E16))</f>
        <v>0</v>
      </c>
      <c r="O16" s="121">
        <f>IF($E16="calc",ROUND($A16*SUMIFS(DATA!$Y:$Y,DATA!$C:$C,INDEX!$D$11,DATA!$X:$X,O$4,DATA!$N:$N,$C16,DATA!$S:$S,$B16),0),SUMIFS(O:O,$D:$D,$E16))</f>
        <v>0</v>
      </c>
      <c r="P16" s="121">
        <f t="shared" si="0"/>
        <v>0</v>
      </c>
      <c r="Q16" s="122">
        <f>IF($E16="calc",ROUND($A16*SUMIFS(DATA!$Y:$Y,DATA!$C:$C,INDEX!$E$11,DATA!$N:$N,$C16,DATA!$S:$S,$B16),0)+T16,SUMIFS(Q:Q,$D:$D,$E16))</f>
        <v>0</v>
      </c>
      <c r="R16" s="11"/>
      <c r="S16" s="719"/>
      <c r="T16" s="720"/>
    </row>
    <row r="17" spans="1:20" x14ac:dyDescent="0.3">
      <c r="A17" s="428">
        <v>1</v>
      </c>
      <c r="B17" s="651">
        <v>10</v>
      </c>
      <c r="C17" s="429" t="s">
        <v>516</v>
      </c>
      <c r="D17" s="428" t="s">
        <v>1008</v>
      </c>
      <c r="E17" s="428" t="s">
        <v>1006</v>
      </c>
      <c r="F17" s="27"/>
      <c r="G17" s="496" t="s">
        <v>240</v>
      </c>
      <c r="H17" s="484" t="s">
        <v>241</v>
      </c>
      <c r="I17" s="480" t="s">
        <v>245</v>
      </c>
      <c r="J17" s="480"/>
      <c r="K17" s="481"/>
      <c r="L17" s="497" t="str">
        <f>VLOOKUP(B17,'radky_R'!A:O,15,0)</f>
        <v>Ostatní dlouhodobý nehmotný majetek</v>
      </c>
      <c r="M17" s="499">
        <f>IF($M$4="f",B17,IF($M$4="z",IF(OR(N17&lt;&gt;0,O17&lt;&gt;0,P17&lt;&gt;0,Q17&lt;&gt;0),B17,"-"),IF($M$4="m",IF(OR(N17&lt;&gt;0,O17&lt;&gt;0,P17&lt;&gt;0,Q17&lt;&gt;0),MAX(M$8:M16)+1,"-"))))</f>
        <v>10</v>
      </c>
      <c r="N17" s="121">
        <f>IF($E17="calc",ROUND($A17*SUMIFS(DATA!$Y:$Y,DATA!$C:$C,INDEX!$D$11,DATA!$X:$X,N$4,DATA!$N:$N,$C17,DATA!$S:$S,$B17),0)+S17,SUMIFS(N:N,$D:$D,$E17))</f>
        <v>0</v>
      </c>
      <c r="O17" s="121">
        <f>IF($E17="calc",ROUND($A17*SUMIFS(DATA!$Y:$Y,DATA!$C:$C,INDEX!$D$11,DATA!$X:$X,O$4,DATA!$N:$N,$C17,DATA!$S:$S,$B17),0),SUMIFS(O:O,$D:$D,$E17))</f>
        <v>0</v>
      </c>
      <c r="P17" s="121">
        <f t="shared" si="0"/>
        <v>0</v>
      </c>
      <c r="Q17" s="122">
        <f>IF($E17="calc",ROUND($A17*SUMIFS(DATA!$Y:$Y,DATA!$C:$C,INDEX!$E$11,DATA!$N:$N,$C17,DATA!$S:$S,$B17),0)+T17,SUMIFS(Q:Q,$D:$D,$E17))</f>
        <v>0</v>
      </c>
      <c r="R17" s="11"/>
      <c r="S17" s="745"/>
      <c r="T17" s="746"/>
    </row>
    <row r="18" spans="1:20" ht="31.2" x14ac:dyDescent="0.3">
      <c r="A18" s="428">
        <v>1</v>
      </c>
      <c r="B18" s="651">
        <v>11</v>
      </c>
      <c r="C18" s="429" t="s">
        <v>516</v>
      </c>
      <c r="D18" s="428" t="s">
        <v>1008</v>
      </c>
      <c r="E18" s="428" t="s">
        <v>1014</v>
      </c>
      <c r="F18" s="27"/>
      <c r="G18" s="496" t="s">
        <v>240</v>
      </c>
      <c r="H18" s="484" t="s">
        <v>241</v>
      </c>
      <c r="I18" s="480" t="s">
        <v>246</v>
      </c>
      <c r="J18" s="480"/>
      <c r="K18" s="481"/>
      <c r="L18" s="485" t="str">
        <f>VLOOKUP(B18,'radky_R'!A:O,15,0)</f>
        <v>Poskytnuté zálohy na dlouh. nehm. majetek a nedokončený dlouh. nehm. majetek</v>
      </c>
      <c r="M18" s="486">
        <f>IF($M$4="f",B18,IF($M$4="z",IF(OR(N18&lt;&gt;0,O18&lt;&gt;0,P18&lt;&gt;0,Q18&lt;&gt;0),B18,"-"),IF($M$4="m",IF(OR(N18&lt;&gt;0,O18&lt;&gt;0,P18&lt;&gt;0,Q18&lt;&gt;0),MAX(M$8:M17)+1,"-"))))</f>
        <v>11</v>
      </c>
      <c r="N18" s="364">
        <f>IF($E18="calc",ROUND($A18*SUMIFS(DATA!$Y:$Y,DATA!$C:$C,INDEX!$D$11,DATA!$X:$X,N$4,DATA!$N:$N,$C18,DATA!$S:$S,$B18),0)+S18,SUMIFS(N:N,$D:$D,$E18))</f>
        <v>0</v>
      </c>
      <c r="O18" s="364">
        <f>IF($E18="calc",ROUND($A18*SUMIFS(DATA!$Y:$Y,DATA!$C:$C,INDEX!$D$11,DATA!$X:$X,O$4,DATA!$N:$N,$C18,DATA!$S:$S,$B18),0),SUMIFS(O:O,$D:$D,$E18))</f>
        <v>0</v>
      </c>
      <c r="P18" s="364">
        <f t="shared" si="0"/>
        <v>0</v>
      </c>
      <c r="Q18" s="365">
        <f>IF($E18="calc",ROUND($A18*SUMIFS(DATA!$Y:$Y,DATA!$C:$C,INDEX!$E$11,DATA!$N:$N,$C18,DATA!$S:$S,$B18),0)+T18,SUMIFS(Q:Q,$D:$D,$E18))</f>
        <v>0</v>
      </c>
      <c r="R18" s="11"/>
      <c r="S18" s="761"/>
      <c r="T18" s="761"/>
    </row>
    <row r="19" spans="1:20" s="367" customFormat="1" x14ac:dyDescent="0.3">
      <c r="A19" s="428">
        <v>1</v>
      </c>
      <c r="B19" s="652">
        <v>12</v>
      </c>
      <c r="C19" s="429" t="s">
        <v>516</v>
      </c>
      <c r="D19" s="434" t="s">
        <v>1014</v>
      </c>
      <c r="E19" s="434" t="s">
        <v>1006</v>
      </c>
      <c r="F19" s="366"/>
      <c r="G19" s="500"/>
      <c r="H19" s="501"/>
      <c r="I19" s="490"/>
      <c r="J19" s="490" t="s">
        <v>242</v>
      </c>
      <c r="K19" s="491"/>
      <c r="L19" s="492" t="str">
        <f>VLOOKUP(B19,'radky_R'!A:O,15,0)</f>
        <v>Poskytnuté zálohy na dlouh. nehm. majetek</v>
      </c>
      <c r="M19" s="493">
        <f>IF($M$4="f",B19,IF($M$4="z",IF(OR(N19&lt;&gt;0,O19&lt;&gt;0,P19&lt;&gt;0,Q19&lt;&gt;0),B19,"-"),IF($M$4="m",IF(OR(N19&lt;&gt;0,O19&lt;&gt;0,P19&lt;&gt;0,Q19&lt;&gt;0),MAX(M$8:M18)+1,"-"))))</f>
        <v>12</v>
      </c>
      <c r="N19" s="368">
        <f>IF($E19="calc",ROUND($A19*SUMIFS(DATA!$Y:$Y,DATA!$C:$C,INDEX!$D$11,DATA!$X:$X,N$4,DATA!$N:$N,$C19,DATA!$S:$S,$B19),0)+S19,SUMIFS(N:N,$D:$D,$E19))</f>
        <v>0</v>
      </c>
      <c r="O19" s="368">
        <f>IF($E19="calc",ROUND($A19*SUMIFS(DATA!$Y:$Y,DATA!$C:$C,INDEX!$D$11,DATA!$X:$X,O$4,DATA!$N:$N,$C19,DATA!$S:$S,$B19),0),SUMIFS(O:O,$D:$D,$E19))</f>
        <v>0</v>
      </c>
      <c r="P19" s="368">
        <f t="shared" si="0"/>
        <v>0</v>
      </c>
      <c r="Q19" s="369">
        <f>IF($E19="calc",ROUND($A19*SUMIFS(DATA!$Y:$Y,DATA!$C:$C,INDEX!$E$11,DATA!$N:$N,$C19,DATA!$S:$S,$B19),0)+T19,SUMIFS(Q:Q,$D:$D,$E19))</f>
        <v>0</v>
      </c>
      <c r="S19" s="741"/>
      <c r="T19" s="742"/>
    </row>
    <row r="20" spans="1:20" s="367" customFormat="1" x14ac:dyDescent="0.3">
      <c r="A20" s="428">
        <v>1</v>
      </c>
      <c r="B20" s="652">
        <v>13</v>
      </c>
      <c r="C20" s="429" t="s">
        <v>516</v>
      </c>
      <c r="D20" s="434" t="s">
        <v>1014</v>
      </c>
      <c r="E20" s="434" t="s">
        <v>1006</v>
      </c>
      <c r="F20" s="366"/>
      <c r="G20" s="502"/>
      <c r="H20" s="503"/>
      <c r="I20" s="504"/>
      <c r="J20" s="504" t="s">
        <v>243</v>
      </c>
      <c r="K20" s="505"/>
      <c r="L20" s="494" t="str">
        <f>VLOOKUP(B20,'radky_R'!A:O,15,0)</f>
        <v>Nedokončený dlouhodobý nehmotný majetek</v>
      </c>
      <c r="M20" s="495">
        <f>IF($M$4="f",B20,IF($M$4="z",IF(OR(N20&lt;&gt;0,O20&lt;&gt;0,P20&lt;&gt;0,Q20&lt;&gt;0),B20,"-"),IF($M$4="m",IF(OR(N20&lt;&gt;0,O20&lt;&gt;0,P20&lt;&gt;0,Q20&lt;&gt;0),MAX(M$8:M19)+1,"-"))))</f>
        <v>13</v>
      </c>
      <c r="N20" s="370">
        <f>IF($E20="calc",ROUND($A20*SUMIFS(DATA!$Y:$Y,DATA!$C:$C,INDEX!$D$11,DATA!$X:$X,N$4,DATA!$N:$N,$C20,DATA!$S:$S,$B20),0)+S20,SUMIFS(N:N,$D:$D,$E20))</f>
        <v>0</v>
      </c>
      <c r="O20" s="370">
        <f>IF($E20="calc",ROUND($A20*SUMIFS(DATA!$Y:$Y,DATA!$C:$C,INDEX!$D$11,DATA!$X:$X,O$4,DATA!$N:$N,$C20,DATA!$S:$S,$B20),0),SUMIFS(O:O,$D:$D,$E20))</f>
        <v>0</v>
      </c>
      <c r="P20" s="370">
        <f t="shared" si="0"/>
        <v>0</v>
      </c>
      <c r="Q20" s="371">
        <f>IF($E20="calc",ROUND($A20*SUMIFS(DATA!$Y:$Y,DATA!$C:$C,INDEX!$E$11,DATA!$N:$N,$C20,DATA!$S:$S,$B20),0)+T20,SUMIFS(Q:Q,$D:$D,$E20))</f>
        <v>0</v>
      </c>
      <c r="S20" s="739"/>
      <c r="T20" s="740"/>
    </row>
    <row r="21" spans="1:20" x14ac:dyDescent="0.3">
      <c r="A21" s="428">
        <v>1</v>
      </c>
      <c r="B21" s="651">
        <v>14</v>
      </c>
      <c r="C21" s="429" t="s">
        <v>516</v>
      </c>
      <c r="D21" s="428" t="s">
        <v>240</v>
      </c>
      <c r="E21" s="428" t="s">
        <v>1010</v>
      </c>
      <c r="F21" s="27"/>
      <c r="G21" s="474" t="s">
        <v>240</v>
      </c>
      <c r="H21" s="475" t="s">
        <v>251</v>
      </c>
      <c r="I21" s="475"/>
      <c r="J21" s="475"/>
      <c r="K21" s="475"/>
      <c r="L21" s="477" t="str">
        <f>VLOOKUP(B21,'radky_R'!A:O,15,0)</f>
        <v>Dlouhodobý hmotný majetek      (ř. 15 + 18 + 19 + 20 + 24)</v>
      </c>
      <c r="M21" s="478">
        <f>IF($M$4="f",B21,IF($M$4="z",IF(OR(N21&lt;&gt;0,O21&lt;&gt;0,P21&lt;&gt;0,Q21&lt;&gt;0),B21,"-"),IF($M$4="m",IF(OR(N21&lt;&gt;0,O21&lt;&gt;0,P21&lt;&gt;0,Q21&lt;&gt;0),MAX(M$8:M20)+1,"-"))))</f>
        <v>14</v>
      </c>
      <c r="N21" s="118">
        <f>IF($E21="calc",ROUND($A21*SUMIFS(DATA!$Y:$Y,DATA!$C:$C,INDEX!$D$11,DATA!$X:$X,N$4,DATA!$N:$N,$C21,DATA!$S:$S,$B21),0)+S21,SUMIFS(N:N,$D:$D,$E21))</f>
        <v>0</v>
      </c>
      <c r="O21" s="118">
        <f>IF($E21="calc",ROUND($A21*SUMIFS(DATA!$Y:$Y,DATA!$C:$C,INDEX!$D$11,DATA!$X:$X,O$4,DATA!$N:$N,$C21,DATA!$S:$S,$B21),0),SUMIFS(O:O,$D:$D,$E21))</f>
        <v>0</v>
      </c>
      <c r="P21" s="118">
        <f t="shared" si="0"/>
        <v>0</v>
      </c>
      <c r="Q21" s="119">
        <f>IF($E21="calc",ROUND($A21*SUMIFS(DATA!$Y:$Y,DATA!$C:$C,INDEX!$E$11,DATA!$N:$N,$C21,DATA!$S:$S,$B21),0)+T21,SUMIFS(Q:Q,$D:$D,$E21))</f>
        <v>0</v>
      </c>
      <c r="R21" s="11"/>
      <c r="S21" s="759"/>
      <c r="T21" s="759"/>
    </row>
    <row r="22" spans="1:20" x14ac:dyDescent="0.3">
      <c r="A22" s="428">
        <v>1</v>
      </c>
      <c r="B22" s="651">
        <v>15</v>
      </c>
      <c r="C22" s="429" t="s">
        <v>516</v>
      </c>
      <c r="D22" s="428" t="s">
        <v>1010</v>
      </c>
      <c r="E22" s="428" t="s">
        <v>1011</v>
      </c>
      <c r="F22" s="27"/>
      <c r="G22" s="479" t="s">
        <v>240</v>
      </c>
      <c r="H22" s="484" t="s">
        <v>251</v>
      </c>
      <c r="I22" s="480" t="s">
        <v>242</v>
      </c>
      <c r="J22" s="480"/>
      <c r="K22" s="481"/>
      <c r="L22" s="485" t="str">
        <f>VLOOKUP(B22,'radky_R'!A:O,15,0)</f>
        <v>Pozemky a stavby</v>
      </c>
      <c r="M22" s="486">
        <f>IF($M$4="f",B22,IF($M$4="z",IF(OR(N22&lt;&gt;0,O22&lt;&gt;0,P22&lt;&gt;0,Q22&lt;&gt;0),B22,"-"),IF($M$4="m",IF(OR(N22&lt;&gt;0,O22&lt;&gt;0,P22&lt;&gt;0,Q22&lt;&gt;0),MAX(M$8:M21)+1,"-"))))</f>
        <v>15</v>
      </c>
      <c r="N22" s="364">
        <f>IF($E22="calc",ROUND($A22*SUMIFS(DATA!$Y:$Y,DATA!$C:$C,INDEX!$D$11,DATA!$X:$X,N$4,DATA!$N:$N,$C22,DATA!$S:$S,$B22),0)+S22,SUMIFS(N:N,$D:$D,$E22))</f>
        <v>0</v>
      </c>
      <c r="O22" s="364">
        <f>IF($E22="calc",ROUND($A22*SUMIFS(DATA!$Y:$Y,DATA!$C:$C,INDEX!$D$11,DATA!$X:$X,O$4,DATA!$N:$N,$C22,DATA!$S:$S,$B22),0),SUMIFS(O:O,$D:$D,$E22))</f>
        <v>0</v>
      </c>
      <c r="P22" s="364">
        <f t="shared" si="0"/>
        <v>0</v>
      </c>
      <c r="Q22" s="365">
        <f>IF($E22="calc",ROUND($A22*SUMIFS(DATA!$Y:$Y,DATA!$C:$C,INDEX!$E$11,DATA!$N:$N,$C22,DATA!$S:$S,$B22),0)+T22,SUMIFS(Q:Q,$D:$D,$E22))</f>
        <v>0</v>
      </c>
      <c r="R22" s="11"/>
      <c r="S22" s="760"/>
      <c r="T22" s="760"/>
    </row>
    <row r="23" spans="1:20" s="367" customFormat="1" x14ac:dyDescent="0.3">
      <c r="A23" s="428">
        <v>1</v>
      </c>
      <c r="B23" s="652">
        <v>16</v>
      </c>
      <c r="C23" s="429" t="s">
        <v>516</v>
      </c>
      <c r="D23" s="434" t="s">
        <v>1011</v>
      </c>
      <c r="E23" s="434" t="s">
        <v>1006</v>
      </c>
      <c r="F23" s="366"/>
      <c r="G23" s="506"/>
      <c r="H23" s="501"/>
      <c r="I23" s="490"/>
      <c r="J23" s="490" t="s">
        <v>242</v>
      </c>
      <c r="K23" s="491"/>
      <c r="L23" s="492" t="str">
        <f>VLOOKUP(B23,'radky_R'!A:O,15,0)</f>
        <v>Pozemky</v>
      </c>
      <c r="M23" s="493">
        <f>IF($M$4="f",B23,IF($M$4="z",IF(OR(N23&lt;&gt;0,O23&lt;&gt;0,P23&lt;&gt;0,Q23&lt;&gt;0),B23,"-"),IF($M$4="m",IF(OR(N23&lt;&gt;0,O23&lt;&gt;0,P23&lt;&gt;0,Q23&lt;&gt;0),MAX(M$8:M22)+1,"-"))))</f>
        <v>16</v>
      </c>
      <c r="N23" s="368">
        <f>IF($E23="calc",ROUND($A23*SUMIFS(DATA!$Y:$Y,DATA!$C:$C,INDEX!$D$11,DATA!$X:$X,N$4,DATA!$N:$N,$C23,DATA!$S:$S,$B23),0)+S23,SUMIFS(N:N,$D:$D,$E23))</f>
        <v>0</v>
      </c>
      <c r="O23" s="368">
        <f>IF($E23="calc",ROUND($A23*SUMIFS(DATA!$Y:$Y,DATA!$C:$C,INDEX!$D$11,DATA!$X:$X,O$4,DATA!$N:$N,$C23,DATA!$S:$S,$B23),0),SUMIFS(O:O,$D:$D,$E23))</f>
        <v>0</v>
      </c>
      <c r="P23" s="368">
        <f t="shared" si="0"/>
        <v>0</v>
      </c>
      <c r="Q23" s="369">
        <f>IF($E23="calc",ROUND($A23*SUMIFS(DATA!$Y:$Y,DATA!$C:$C,INDEX!$E$11,DATA!$N:$N,$C23,DATA!$S:$S,$B23),0)+T23,SUMIFS(Q:Q,$D:$D,$E23))</f>
        <v>0</v>
      </c>
      <c r="S23" s="741"/>
      <c r="T23" s="742"/>
    </row>
    <row r="24" spans="1:20" s="367" customFormat="1" x14ac:dyDescent="0.3">
      <c r="A24" s="428">
        <v>1</v>
      </c>
      <c r="B24" s="652">
        <v>17</v>
      </c>
      <c r="C24" s="429" t="s">
        <v>516</v>
      </c>
      <c r="D24" s="434" t="s">
        <v>1011</v>
      </c>
      <c r="E24" s="434" t="s">
        <v>1006</v>
      </c>
      <c r="F24" s="366"/>
      <c r="G24" s="506"/>
      <c r="H24" s="501"/>
      <c r="I24" s="490"/>
      <c r="J24" s="490" t="s">
        <v>243</v>
      </c>
      <c r="K24" s="491"/>
      <c r="L24" s="494" t="str">
        <f>VLOOKUP(B24,'radky_R'!A:O,15,0)</f>
        <v>Stavby</v>
      </c>
      <c r="M24" s="495">
        <f>IF($M$4="f",B24,IF($M$4="z",IF(OR(N24&lt;&gt;0,O24&lt;&gt;0,P24&lt;&gt;0,Q24&lt;&gt;0),B24,"-"),IF($M$4="m",IF(OR(N24&lt;&gt;0,O24&lt;&gt;0,P24&lt;&gt;0,Q24&lt;&gt;0),MAX(M$8:M23)+1,"-"))))</f>
        <v>17</v>
      </c>
      <c r="N24" s="370">
        <f>IF($E24="calc",ROUND($A24*SUMIFS(DATA!$Y:$Y,DATA!$C:$C,INDEX!$D$11,DATA!$X:$X,N$4,DATA!$N:$N,$C24,DATA!$S:$S,$B24),0)+S24,SUMIFS(N:N,$D:$D,$E24))</f>
        <v>0</v>
      </c>
      <c r="O24" s="370">
        <f>IF($E24="calc",ROUND($A24*SUMIFS(DATA!$Y:$Y,DATA!$C:$C,INDEX!$D$11,DATA!$X:$X,O$4,DATA!$N:$N,$C24,DATA!$S:$S,$B24),0),SUMIFS(O:O,$D:$D,$E24))</f>
        <v>0</v>
      </c>
      <c r="P24" s="370">
        <f t="shared" si="0"/>
        <v>0</v>
      </c>
      <c r="Q24" s="371">
        <f>IF($E24="calc",ROUND($A24*SUMIFS(DATA!$Y:$Y,DATA!$C:$C,INDEX!$E$11,DATA!$N:$N,$C24,DATA!$S:$S,$B24),0)+T24,SUMIFS(Q:Q,$D:$D,$E24))</f>
        <v>0</v>
      </c>
      <c r="S24" s="743"/>
      <c r="T24" s="744"/>
    </row>
    <row r="25" spans="1:20" x14ac:dyDescent="0.3">
      <c r="A25" s="428">
        <v>1</v>
      </c>
      <c r="B25" s="651">
        <v>18</v>
      </c>
      <c r="C25" s="429" t="s">
        <v>516</v>
      </c>
      <c r="D25" s="428" t="s">
        <v>1010</v>
      </c>
      <c r="E25" s="428" t="s">
        <v>1006</v>
      </c>
      <c r="F25" s="27"/>
      <c r="G25" s="496" t="s">
        <v>240</v>
      </c>
      <c r="H25" s="484" t="s">
        <v>251</v>
      </c>
      <c r="I25" s="480" t="s">
        <v>243</v>
      </c>
      <c r="J25" s="480"/>
      <c r="K25" s="481"/>
      <c r="L25" s="497" t="str">
        <f>VLOOKUP(B25,'radky_R'!A:O,15,0)</f>
        <v>Hmotné movité věci a jejich soubory</v>
      </c>
      <c r="M25" s="499">
        <f>IF($M$4="f",B25,IF($M$4="z",IF(OR(N25&lt;&gt;0,O25&lt;&gt;0,P25&lt;&gt;0,Q25&lt;&gt;0),B25,"-"),IF($M$4="m",IF(OR(N25&lt;&gt;0,O25&lt;&gt;0,P25&lt;&gt;0,Q25&lt;&gt;0),MAX(M$8:M24)+1,"-"))))</f>
        <v>18</v>
      </c>
      <c r="N25" s="121">
        <f>IF($E25="calc",ROUND($A25*SUMIFS(DATA!$Y:$Y,DATA!$C:$C,INDEX!$D$11,DATA!$X:$X,N$4,DATA!$N:$N,$C25,DATA!$S:$S,$B25),0)+S25,SUMIFS(N:N,$D:$D,$E25))</f>
        <v>0</v>
      </c>
      <c r="O25" s="121">
        <f>IF($E25="calc",ROUND($A25*SUMIFS(DATA!$Y:$Y,DATA!$C:$C,INDEX!$D$11,DATA!$X:$X,O$4,DATA!$N:$N,$C25,DATA!$S:$S,$B25),0),SUMIFS(O:O,$D:$D,$E25))</f>
        <v>0</v>
      </c>
      <c r="P25" s="121">
        <f t="shared" si="0"/>
        <v>0</v>
      </c>
      <c r="Q25" s="122">
        <f>IF($E25="calc",ROUND($A25*SUMIFS(DATA!$Y:$Y,DATA!$C:$C,INDEX!$E$11,DATA!$N:$N,$C25,DATA!$S:$S,$B25),0)+T25,SUMIFS(Q:Q,$D:$D,$E25))</f>
        <v>0</v>
      </c>
      <c r="R25" s="11"/>
      <c r="S25" s="719"/>
      <c r="T25" s="720"/>
    </row>
    <row r="26" spans="1:20" x14ac:dyDescent="0.3">
      <c r="A26" s="428">
        <v>1</v>
      </c>
      <c r="B26" s="651">
        <v>19</v>
      </c>
      <c r="C26" s="429" t="s">
        <v>516</v>
      </c>
      <c r="D26" s="428" t="s">
        <v>1010</v>
      </c>
      <c r="E26" s="428" t="s">
        <v>1006</v>
      </c>
      <c r="F26" s="27"/>
      <c r="G26" s="496" t="s">
        <v>240</v>
      </c>
      <c r="H26" s="484" t="s">
        <v>251</v>
      </c>
      <c r="I26" s="480" t="s">
        <v>244</v>
      </c>
      <c r="J26" s="480"/>
      <c r="K26" s="481"/>
      <c r="L26" s="497" t="str">
        <f>VLOOKUP(B26,'radky_R'!A:O,15,0)</f>
        <v>Oceňovací rozdíl k nabytému majetku</v>
      </c>
      <c r="M26" s="498">
        <f>IF($M$4="f",B26,IF($M$4="z",IF(OR(N26&lt;&gt;0,O26&lt;&gt;0,P26&lt;&gt;0,Q26&lt;&gt;0),B26,"-"),IF($M$4="m",IF(OR(N26&lt;&gt;0,O26&lt;&gt;0,P26&lt;&gt;0,Q26&lt;&gt;0),MAX(M$8:M25)+1,"-"))))</f>
        <v>19</v>
      </c>
      <c r="N26" s="121">
        <f>IF($E26="calc",ROUND($A26*SUMIFS(DATA!$Y:$Y,DATA!$C:$C,INDEX!$D$11,DATA!$X:$X,N$4,DATA!$N:$N,$C26,DATA!$S:$S,$B26),0)+S26,SUMIFS(N:N,$D:$D,$E26))</f>
        <v>0</v>
      </c>
      <c r="O26" s="121">
        <f>IF($E26="calc",ROUND($A26*SUMIFS(DATA!$Y:$Y,DATA!$C:$C,INDEX!$D$11,DATA!$X:$X,O$4,DATA!$N:$N,$C26,DATA!$S:$S,$B26),0),SUMIFS(O:O,$D:$D,$E26))</f>
        <v>0</v>
      </c>
      <c r="P26" s="121">
        <f t="shared" si="0"/>
        <v>0</v>
      </c>
      <c r="Q26" s="122">
        <f>IF($E26="calc",ROUND($A26*SUMIFS(DATA!$Y:$Y,DATA!$C:$C,INDEX!$E$11,DATA!$N:$N,$C26,DATA!$S:$S,$B26),0)+T26,SUMIFS(Q:Q,$D:$D,$E26))</f>
        <v>0</v>
      </c>
      <c r="R26" s="11"/>
      <c r="S26" s="745"/>
      <c r="T26" s="746"/>
    </row>
    <row r="27" spans="1:20" x14ac:dyDescent="0.3">
      <c r="A27" s="428">
        <v>1</v>
      </c>
      <c r="B27" s="651">
        <v>20</v>
      </c>
      <c r="C27" s="429" t="s">
        <v>516</v>
      </c>
      <c r="D27" s="428" t="s">
        <v>1010</v>
      </c>
      <c r="E27" s="428" t="s">
        <v>1024</v>
      </c>
      <c r="F27" s="27"/>
      <c r="G27" s="496" t="s">
        <v>240</v>
      </c>
      <c r="H27" s="484" t="s">
        <v>251</v>
      </c>
      <c r="I27" s="480" t="s">
        <v>245</v>
      </c>
      <c r="J27" s="480"/>
      <c r="K27" s="481"/>
      <c r="L27" s="485" t="str">
        <f>VLOOKUP(B27,'radky_R'!A:O,15,0)</f>
        <v>Ostatní dlouhodobý hmotný majetek</v>
      </c>
      <c r="M27" s="486">
        <f>IF($M$4="f",B27,IF($M$4="z",IF(OR(N27&lt;&gt;0,O27&lt;&gt;0,P27&lt;&gt;0,Q27&lt;&gt;0),B27,"-"),IF($M$4="m",IF(OR(N27&lt;&gt;0,O27&lt;&gt;0,P27&lt;&gt;0,Q27&lt;&gt;0),MAX(M$8:M26)+1,"-"))))</f>
        <v>20</v>
      </c>
      <c r="N27" s="364">
        <f>IF($E27="calc",ROUND($A27*SUMIFS(DATA!$Y:$Y,DATA!$C:$C,INDEX!$D$11,DATA!$X:$X,N$4,DATA!$N:$N,$C27,DATA!$S:$S,$B27),0)+S27,SUMIFS(N:N,$D:$D,$E27))</f>
        <v>0</v>
      </c>
      <c r="O27" s="364">
        <f>IF($E27="calc",ROUND($A27*SUMIFS(DATA!$Y:$Y,DATA!$C:$C,INDEX!$D$11,DATA!$X:$X,O$4,DATA!$N:$N,$C27,DATA!$S:$S,$B27),0),SUMIFS(O:O,$D:$D,$E27))</f>
        <v>0</v>
      </c>
      <c r="P27" s="364">
        <f t="shared" si="0"/>
        <v>0</v>
      </c>
      <c r="Q27" s="365">
        <f>IF($E27="calc",ROUND($A27*SUMIFS(DATA!$Y:$Y,DATA!$C:$C,INDEX!$E$11,DATA!$N:$N,$C27,DATA!$S:$S,$B27),0)+T27,SUMIFS(Q:Q,$D:$D,$E27))</f>
        <v>0</v>
      </c>
      <c r="R27" s="11"/>
      <c r="S27" s="761"/>
      <c r="T27" s="761"/>
    </row>
    <row r="28" spans="1:20" s="367" customFormat="1" x14ac:dyDescent="0.3">
      <c r="A28" s="428">
        <v>1</v>
      </c>
      <c r="B28" s="652">
        <v>21</v>
      </c>
      <c r="C28" s="429" t="s">
        <v>516</v>
      </c>
      <c r="D28" s="428" t="s">
        <v>1024</v>
      </c>
      <c r="E28" s="434" t="s">
        <v>1006</v>
      </c>
      <c r="F28" s="366"/>
      <c r="G28" s="500"/>
      <c r="H28" s="501"/>
      <c r="I28" s="490"/>
      <c r="J28" s="490" t="s">
        <v>242</v>
      </c>
      <c r="K28" s="491"/>
      <c r="L28" s="492" t="str">
        <f>VLOOKUP(B28,'radky_R'!A:O,15,0)</f>
        <v>Pěstitelské celky trvalých porostů</v>
      </c>
      <c r="M28" s="493">
        <f>IF($M$4="f",B28,IF($M$4="z",IF(OR(N28&lt;&gt;0,O28&lt;&gt;0,P28&lt;&gt;0,Q28&lt;&gt;0),B28,"-"),IF($M$4="m",IF(OR(N28&lt;&gt;0,O28&lt;&gt;0,P28&lt;&gt;0,Q28&lt;&gt;0),MAX(M$8:M27)+1,"-"))))</f>
        <v>21</v>
      </c>
      <c r="N28" s="368">
        <f>IF($E28="calc",ROUND($A28*SUMIFS(DATA!$Y:$Y,DATA!$C:$C,INDEX!$D$11,DATA!$X:$X,N$4,DATA!$N:$N,$C28,DATA!$S:$S,$B28),0)+S28,SUMIFS(N:N,$D:$D,$E28))</f>
        <v>0</v>
      </c>
      <c r="O28" s="368">
        <f>IF($E28="calc",ROUND($A28*SUMIFS(DATA!$Y:$Y,DATA!$C:$C,INDEX!$D$11,DATA!$X:$X,O$4,DATA!$N:$N,$C28,DATA!$S:$S,$B28),0),SUMIFS(O:O,$D:$D,$E28))</f>
        <v>0</v>
      </c>
      <c r="P28" s="368">
        <f t="shared" si="0"/>
        <v>0</v>
      </c>
      <c r="Q28" s="369">
        <f>IF($E28="calc",ROUND($A28*SUMIFS(DATA!$Y:$Y,DATA!$C:$C,INDEX!$E$11,DATA!$N:$N,$C28,DATA!$S:$S,$B28),0)+T28,SUMIFS(Q:Q,$D:$D,$E28))</f>
        <v>0</v>
      </c>
      <c r="S28" s="741"/>
      <c r="T28" s="742"/>
    </row>
    <row r="29" spans="1:20" s="367" customFormat="1" x14ac:dyDescent="0.3">
      <c r="A29" s="428">
        <v>1</v>
      </c>
      <c r="B29" s="652">
        <v>22</v>
      </c>
      <c r="C29" s="429" t="s">
        <v>516</v>
      </c>
      <c r="D29" s="428" t="s">
        <v>1024</v>
      </c>
      <c r="E29" s="434" t="s">
        <v>1006</v>
      </c>
      <c r="F29" s="366"/>
      <c r="G29" s="500"/>
      <c r="H29" s="501"/>
      <c r="I29" s="490"/>
      <c r="J29" s="490" t="s">
        <v>243</v>
      </c>
      <c r="K29" s="491"/>
      <c r="L29" s="492" t="str">
        <f>VLOOKUP(B29,'radky_R'!A:O,15,0)</f>
        <v>Dospělá zvířata a jejich skupiny</v>
      </c>
      <c r="M29" s="493">
        <f>IF($M$4="f",B29,IF($M$4="z",IF(OR(N29&lt;&gt;0,O29&lt;&gt;0,P29&lt;&gt;0,Q29&lt;&gt;0),B29,"-"),IF($M$4="m",IF(OR(N29&lt;&gt;0,O29&lt;&gt;0,P29&lt;&gt;0,Q29&lt;&gt;0),MAX(M$8:M28)+1,"-"))))</f>
        <v>22</v>
      </c>
      <c r="N29" s="368">
        <f>IF($E29="calc",ROUND($A29*SUMIFS(DATA!$Y:$Y,DATA!$C:$C,INDEX!$D$11,DATA!$X:$X,N$4,DATA!$N:$N,$C29,DATA!$S:$S,$B29),0)+S29,SUMIFS(N:N,$D:$D,$E29))</f>
        <v>0</v>
      </c>
      <c r="O29" s="368">
        <f>IF($E29="calc",ROUND($A29*SUMIFS(DATA!$Y:$Y,DATA!$C:$C,INDEX!$D$11,DATA!$X:$X,O$4,DATA!$N:$N,$C29,DATA!$S:$S,$B29),0),SUMIFS(O:O,$D:$D,$E29))</f>
        <v>0</v>
      </c>
      <c r="P29" s="368">
        <f t="shared" si="0"/>
        <v>0</v>
      </c>
      <c r="Q29" s="369">
        <f>IF($E29="calc",ROUND($A29*SUMIFS(DATA!$Y:$Y,DATA!$C:$C,INDEX!$E$11,DATA!$N:$N,$C29,DATA!$S:$S,$B29),0)+T29,SUMIFS(Q:Q,$D:$D,$E29))</f>
        <v>0</v>
      </c>
      <c r="S29" s="743"/>
      <c r="T29" s="744"/>
    </row>
    <row r="30" spans="1:20" s="367" customFormat="1" x14ac:dyDescent="0.3">
      <c r="A30" s="428">
        <v>1</v>
      </c>
      <c r="B30" s="652">
        <v>23</v>
      </c>
      <c r="C30" s="429" t="s">
        <v>516</v>
      </c>
      <c r="D30" s="428" t="s">
        <v>1024</v>
      </c>
      <c r="E30" s="434" t="s">
        <v>1006</v>
      </c>
      <c r="F30" s="366"/>
      <c r="G30" s="500"/>
      <c r="H30" s="501"/>
      <c r="I30" s="490"/>
      <c r="J30" s="490" t="s">
        <v>244</v>
      </c>
      <c r="K30" s="491"/>
      <c r="L30" s="492" t="str">
        <f>VLOOKUP(B30,'radky_R'!A:O,15,0)</f>
        <v>Jiný dlouhodobý hmotný majetek</v>
      </c>
      <c r="M30" s="493">
        <f>IF($M$4="f",B30,IF($M$4="z",IF(OR(N30&lt;&gt;0,O30&lt;&gt;0,P30&lt;&gt;0,Q30&lt;&gt;0),B30,"-"),IF($M$4="m",IF(OR(N30&lt;&gt;0,O30&lt;&gt;0,P30&lt;&gt;0,Q30&lt;&gt;0),MAX(M$8:M29)+1,"-"))))</f>
        <v>23</v>
      </c>
      <c r="N30" s="368">
        <f>IF($E30="calc",ROUND($A30*SUMIFS(DATA!$Y:$Y,DATA!$C:$C,INDEX!$D$11,DATA!$X:$X,N$4,DATA!$N:$N,$C30,DATA!$S:$S,$B30),0)+S30,SUMIFS(N:N,$D:$D,$E30))</f>
        <v>0</v>
      </c>
      <c r="O30" s="368">
        <f>IF($E30="calc",ROUND($A30*SUMIFS(DATA!$Y:$Y,DATA!$C:$C,INDEX!$D$11,DATA!$X:$X,O$4,DATA!$N:$N,$C30,DATA!$S:$S,$B30),0),SUMIFS(O:O,$D:$D,$E30))</f>
        <v>0</v>
      </c>
      <c r="P30" s="368">
        <f t="shared" si="0"/>
        <v>0</v>
      </c>
      <c r="Q30" s="369">
        <f>IF($E30="calc",ROUND($A30*SUMIFS(DATA!$Y:$Y,DATA!$C:$C,INDEX!$E$11,DATA!$N:$N,$C30,DATA!$S:$S,$B30),0)+T30,SUMIFS(Q:Q,$D:$D,$E30))</f>
        <v>0</v>
      </c>
      <c r="S30" s="739"/>
      <c r="T30" s="740"/>
    </row>
    <row r="31" spans="1:20" ht="31.2" x14ac:dyDescent="0.3">
      <c r="A31" s="428">
        <v>1</v>
      </c>
      <c r="B31" s="651">
        <v>24</v>
      </c>
      <c r="C31" s="429" t="s">
        <v>516</v>
      </c>
      <c r="D31" s="428" t="s">
        <v>1010</v>
      </c>
      <c r="E31" s="428" t="s">
        <v>1025</v>
      </c>
      <c r="F31" s="27"/>
      <c r="G31" s="479" t="s">
        <v>240</v>
      </c>
      <c r="H31" s="484" t="s">
        <v>251</v>
      </c>
      <c r="I31" s="480" t="s">
        <v>246</v>
      </c>
      <c r="J31" s="480"/>
      <c r="K31" s="481"/>
      <c r="L31" s="485" t="str">
        <f>VLOOKUP(B31,'radky_R'!A:O,15,0)</f>
        <v>Poskytnuté zálohy na dlouh. hmotný majetek a nedok. dlouh. hmotný majetek</v>
      </c>
      <c r="M31" s="486">
        <f>IF($M$4="f",B31,IF($M$4="z",IF(OR(N31&lt;&gt;0,O31&lt;&gt;0,P31&lt;&gt;0,Q31&lt;&gt;0),B31,"-"),IF($M$4="m",IF(OR(N31&lt;&gt;0,O31&lt;&gt;0,P31&lt;&gt;0,Q31&lt;&gt;0),MAX(M$8:M30)+1,"-"))))</f>
        <v>24</v>
      </c>
      <c r="N31" s="364">
        <f>IF($E31="calc",ROUND($A31*SUMIFS(DATA!$Y:$Y,DATA!$C:$C,INDEX!$D$11,DATA!$X:$X,N$4,DATA!$N:$N,$C31,DATA!$S:$S,$B31),0)+S31,SUMIFS(N:N,$D:$D,$E31))</f>
        <v>0</v>
      </c>
      <c r="O31" s="364">
        <f>IF($E31="calc",ROUND($A31*SUMIFS(DATA!$Y:$Y,DATA!$C:$C,INDEX!$D$11,DATA!$X:$X,O$4,DATA!$N:$N,$C31,DATA!$S:$S,$B31),0),SUMIFS(O:O,$D:$D,$E31))</f>
        <v>0</v>
      </c>
      <c r="P31" s="364">
        <f t="shared" si="0"/>
        <v>0</v>
      </c>
      <c r="Q31" s="365">
        <f>IF($E31="calc",ROUND($A31*SUMIFS(DATA!$Y:$Y,DATA!$C:$C,INDEX!$E$11,DATA!$N:$N,$C31,DATA!$S:$S,$B31),0)+T31,SUMIFS(Q:Q,$D:$D,$E31))</f>
        <v>0</v>
      </c>
      <c r="R31" s="11"/>
      <c r="S31" s="761"/>
      <c r="T31" s="761"/>
    </row>
    <row r="32" spans="1:20" s="367" customFormat="1" x14ac:dyDescent="0.3">
      <c r="A32" s="428">
        <v>1</v>
      </c>
      <c r="B32" s="652">
        <v>25</v>
      </c>
      <c r="C32" s="429" t="s">
        <v>516</v>
      </c>
      <c r="D32" s="428" t="s">
        <v>1025</v>
      </c>
      <c r="E32" s="434" t="s">
        <v>1006</v>
      </c>
      <c r="F32" s="366"/>
      <c r="G32" s="506"/>
      <c r="H32" s="501"/>
      <c r="I32" s="490"/>
      <c r="J32" s="490" t="s">
        <v>242</v>
      </c>
      <c r="K32" s="491"/>
      <c r="L32" s="492" t="str">
        <f>VLOOKUP(B32,'radky_R'!A:O,15,0)</f>
        <v>Poskytnuté zálohy na dlouh. hmotný majetek</v>
      </c>
      <c r="M32" s="493">
        <f>IF($M$4="f",B32,IF($M$4="z",IF(OR(N32&lt;&gt;0,O32&lt;&gt;0,P32&lt;&gt;0,Q32&lt;&gt;0),B32,"-"),IF($M$4="m",IF(OR(N32&lt;&gt;0,O32&lt;&gt;0,P32&lt;&gt;0,Q32&lt;&gt;0),MAX(M$8:M31)+1,"-"))))</f>
        <v>25</v>
      </c>
      <c r="N32" s="368">
        <f>IF($E32="calc",ROUND($A32*SUMIFS(DATA!$Y:$Y,DATA!$C:$C,INDEX!$D$11,DATA!$X:$X,N$4,DATA!$N:$N,$C32,DATA!$S:$S,$B32),0)+S32,SUMIFS(N:N,$D:$D,$E32))</f>
        <v>0</v>
      </c>
      <c r="O32" s="368">
        <f>IF($E32="calc",ROUND($A32*SUMIFS(DATA!$Y:$Y,DATA!$C:$C,INDEX!$D$11,DATA!$X:$X,O$4,DATA!$N:$N,$C32,DATA!$S:$S,$B32),0),SUMIFS(O:O,$D:$D,$E32))</f>
        <v>0</v>
      </c>
      <c r="P32" s="368">
        <f t="shared" si="0"/>
        <v>0</v>
      </c>
      <c r="Q32" s="369">
        <f>IF($E32="calc",ROUND($A32*SUMIFS(DATA!$Y:$Y,DATA!$C:$C,INDEX!$E$11,DATA!$N:$N,$C32,DATA!$S:$S,$B32),0)+T32,SUMIFS(Q:Q,$D:$D,$E32))</f>
        <v>0</v>
      </c>
      <c r="S32" s="741"/>
      <c r="T32" s="742"/>
    </row>
    <row r="33" spans="1:20" s="367" customFormat="1" x14ac:dyDescent="0.3">
      <c r="A33" s="428">
        <v>1</v>
      </c>
      <c r="B33" s="652">
        <v>26</v>
      </c>
      <c r="C33" s="429" t="s">
        <v>516</v>
      </c>
      <c r="D33" s="428" t="s">
        <v>1025</v>
      </c>
      <c r="E33" s="434" t="s">
        <v>1006</v>
      </c>
      <c r="F33" s="366"/>
      <c r="G33" s="507"/>
      <c r="H33" s="503"/>
      <c r="I33" s="504"/>
      <c r="J33" s="504" t="s">
        <v>243</v>
      </c>
      <c r="K33" s="505"/>
      <c r="L33" s="494" t="str">
        <f>VLOOKUP(B33,'radky_R'!A:O,15,0)</f>
        <v>Nedokončený dlouhodobý hmotný majetek</v>
      </c>
      <c r="M33" s="495">
        <f>IF($M$4="f",B33,IF($M$4="z",IF(OR(N33&lt;&gt;0,O33&lt;&gt;0,P33&lt;&gt;0,Q33&lt;&gt;0),B33,"-"),IF($M$4="m",IF(OR(N33&lt;&gt;0,O33&lt;&gt;0,P33&lt;&gt;0,Q33&lt;&gt;0),MAX(M$8:M32)+1,"-"))))</f>
        <v>26</v>
      </c>
      <c r="N33" s="370">
        <f>IF($E33="calc",ROUND($A33*SUMIFS(DATA!$Y:$Y,DATA!$C:$C,INDEX!$D$11,DATA!$X:$X,N$4,DATA!$N:$N,$C33,DATA!$S:$S,$B33),0)+S33,SUMIFS(N:N,$D:$D,$E33))</f>
        <v>0</v>
      </c>
      <c r="O33" s="370">
        <f>IF($E33="calc",ROUND($A33*SUMIFS(DATA!$Y:$Y,DATA!$C:$C,INDEX!$D$11,DATA!$X:$X,O$4,DATA!$N:$N,$C33,DATA!$S:$S,$B33),0),SUMIFS(O:O,$D:$D,$E33))</f>
        <v>0</v>
      </c>
      <c r="P33" s="370">
        <f t="shared" si="0"/>
        <v>0</v>
      </c>
      <c r="Q33" s="371">
        <f>IF($E33="calc",ROUND($A33*SUMIFS(DATA!$Y:$Y,DATA!$C:$C,INDEX!$E$11,DATA!$N:$N,$C33,DATA!$S:$S,$B33),0)+T33,SUMIFS(Q:Q,$D:$D,$E33))</f>
        <v>0</v>
      </c>
      <c r="S33" s="739"/>
      <c r="T33" s="740"/>
    </row>
    <row r="34" spans="1:20" x14ac:dyDescent="0.3">
      <c r="A34" s="428">
        <v>1</v>
      </c>
      <c r="B34" s="651">
        <v>27</v>
      </c>
      <c r="C34" s="429" t="s">
        <v>516</v>
      </c>
      <c r="D34" s="428" t="s">
        <v>240</v>
      </c>
      <c r="E34" s="428" t="s">
        <v>1026</v>
      </c>
      <c r="F34" s="27"/>
      <c r="G34" s="508" t="s">
        <v>240</v>
      </c>
      <c r="H34" s="509" t="s">
        <v>256</v>
      </c>
      <c r="I34" s="509"/>
      <c r="J34" s="509"/>
      <c r="K34" s="509"/>
      <c r="L34" s="477" t="str">
        <f>VLOOKUP(B34,'radky_R'!A:O,15,0)</f>
        <v>Dlouhodobý finanční majetek      (ř. 28 až 34)</v>
      </c>
      <c r="M34" s="478">
        <f>IF($M$4="f",B34,IF($M$4="z",IF(OR(N34&lt;&gt;0,O34&lt;&gt;0,P34&lt;&gt;0,Q34&lt;&gt;0),B34,"-"),IF($M$4="m",IF(OR(N34&lt;&gt;0,O34&lt;&gt;0,P34&lt;&gt;0,Q34&lt;&gt;0),MAX(M$8:M33)+1,"-"))))</f>
        <v>27</v>
      </c>
      <c r="N34" s="118">
        <f>IF($E34="calc",ROUND($A34*SUMIFS(DATA!$Y:$Y,DATA!$C:$C,INDEX!$D$11,DATA!$X:$X,N$4,DATA!$N:$N,$C34,DATA!$S:$S,$B34),0)+S34,SUMIFS(N:N,$D:$D,$E34))</f>
        <v>0</v>
      </c>
      <c r="O34" s="118">
        <f>IF($E34="calc",ROUND($A34*SUMIFS(DATA!$Y:$Y,DATA!$C:$C,INDEX!$D$11,DATA!$X:$X,O$4,DATA!$N:$N,$C34,DATA!$S:$S,$B34),0),SUMIFS(O:O,$D:$D,$E34))</f>
        <v>0</v>
      </c>
      <c r="P34" s="118">
        <f t="shared" si="0"/>
        <v>0</v>
      </c>
      <c r="Q34" s="119">
        <f>IF($E34="calc",ROUND($A34*SUMIFS(DATA!$Y:$Y,DATA!$C:$C,INDEX!$E$11,DATA!$N:$N,$C34,DATA!$S:$S,$B34),0)+T34,SUMIFS(Q:Q,$D:$D,$E34))</f>
        <v>0</v>
      </c>
      <c r="R34" s="11"/>
      <c r="S34" s="761"/>
      <c r="T34" s="761"/>
    </row>
    <row r="35" spans="1:20" x14ac:dyDescent="0.3">
      <c r="A35" s="428">
        <v>1</v>
      </c>
      <c r="B35" s="651">
        <v>28</v>
      </c>
      <c r="C35" s="429" t="s">
        <v>516</v>
      </c>
      <c r="D35" s="428" t="s">
        <v>1026</v>
      </c>
      <c r="E35" s="428" t="s">
        <v>1006</v>
      </c>
      <c r="F35" s="27"/>
      <c r="G35" s="496" t="s">
        <v>240</v>
      </c>
      <c r="H35" s="484" t="s">
        <v>256</v>
      </c>
      <c r="I35" s="480" t="s">
        <v>242</v>
      </c>
      <c r="J35" s="480"/>
      <c r="K35" s="481"/>
      <c r="L35" s="497" t="str">
        <f>VLOOKUP(B35,'radky_R'!A:O,15,0)</f>
        <v>Podíly - ovládaná nebo ovládající osoba</v>
      </c>
      <c r="M35" s="499">
        <f>IF($M$4="f",B35,IF($M$4="z",IF(OR(N35&lt;&gt;0,O35&lt;&gt;0,P35&lt;&gt;0,Q35&lt;&gt;0),B35,"-"),IF($M$4="m",IF(OR(N35&lt;&gt;0,O35&lt;&gt;0,P35&lt;&gt;0,Q35&lt;&gt;0),MAX(M$8:M34)+1,"-"))))</f>
        <v>28</v>
      </c>
      <c r="N35" s="121">
        <f>IF($E35="calc",ROUND($A35*SUMIFS(DATA!$Y:$Y,DATA!$C:$C,INDEX!$D$11,DATA!$X:$X,N$4,DATA!$N:$N,$C35,DATA!$S:$S,$B35),0)+S35,SUMIFS(N:N,$D:$D,$E35))</f>
        <v>0</v>
      </c>
      <c r="O35" s="121">
        <f>IF($E35="calc",ROUND($A35*SUMIFS(DATA!$Y:$Y,DATA!$C:$C,INDEX!$D$11,DATA!$X:$X,O$4,DATA!$N:$N,$C35,DATA!$S:$S,$B35),0),SUMIFS(O:O,$D:$D,$E35))</f>
        <v>0</v>
      </c>
      <c r="P35" s="121">
        <f t="shared" si="0"/>
        <v>0</v>
      </c>
      <c r="Q35" s="122">
        <f>IF($E35="calc",ROUND($A35*SUMIFS(DATA!$Y:$Y,DATA!$C:$C,INDEX!$E$11,DATA!$N:$N,$C35,DATA!$S:$S,$B35),0)+T35,SUMIFS(Q:Q,$D:$D,$E35))</f>
        <v>0</v>
      </c>
      <c r="R35" s="11"/>
      <c r="S35" s="737"/>
      <c r="T35" s="738"/>
    </row>
    <row r="36" spans="1:20" x14ac:dyDescent="0.3">
      <c r="A36" s="428">
        <v>1</v>
      </c>
      <c r="B36" s="651">
        <v>29</v>
      </c>
      <c r="C36" s="429" t="s">
        <v>516</v>
      </c>
      <c r="D36" s="428" t="s">
        <v>1026</v>
      </c>
      <c r="E36" s="428" t="s">
        <v>1006</v>
      </c>
      <c r="F36" s="27"/>
      <c r="G36" s="496" t="s">
        <v>240</v>
      </c>
      <c r="H36" s="484" t="s">
        <v>256</v>
      </c>
      <c r="I36" s="480" t="s">
        <v>243</v>
      </c>
      <c r="J36" s="480"/>
      <c r="K36" s="481"/>
      <c r="L36" s="497" t="str">
        <f>VLOOKUP(B36,'radky_R'!A:O,15,0)</f>
        <v>Zápůjčky a úvěry - ovládaná nebo ovládající osoba</v>
      </c>
      <c r="M36" s="499">
        <f>IF($M$4="f",B36,IF($M$4="z",IF(OR(N36&lt;&gt;0,O36&lt;&gt;0,P36&lt;&gt;0,Q36&lt;&gt;0),B36,"-"),IF($M$4="m",IF(OR(N36&lt;&gt;0,O36&lt;&gt;0,P36&lt;&gt;0,Q36&lt;&gt;0),MAX(M$8:M35)+1,"-"))))</f>
        <v>29</v>
      </c>
      <c r="N36" s="121">
        <f>IF($E36="calc",ROUND($A36*SUMIFS(DATA!$Y:$Y,DATA!$C:$C,INDEX!$D$11,DATA!$X:$X,N$4,DATA!$N:$N,$C36,DATA!$S:$S,$B36),0)+S36,SUMIFS(N:N,$D:$D,$E36))</f>
        <v>0</v>
      </c>
      <c r="O36" s="121">
        <f>IF($E36="calc",ROUND($A36*SUMIFS(DATA!$Y:$Y,DATA!$C:$C,INDEX!$D$11,DATA!$X:$X,O$4,DATA!$N:$N,$C36,DATA!$S:$S,$B36),0),SUMIFS(O:O,$D:$D,$E36))</f>
        <v>0</v>
      </c>
      <c r="P36" s="121">
        <f t="shared" si="0"/>
        <v>0</v>
      </c>
      <c r="Q36" s="122">
        <f>IF($E36="calc",ROUND($A36*SUMIFS(DATA!$Y:$Y,DATA!$C:$C,INDEX!$E$11,DATA!$N:$N,$C36,DATA!$S:$S,$B36),0)+T36,SUMIFS(Q:Q,$D:$D,$E36))</f>
        <v>0</v>
      </c>
      <c r="R36" s="11"/>
      <c r="S36" s="719"/>
      <c r="T36" s="720"/>
    </row>
    <row r="37" spans="1:20" x14ac:dyDescent="0.3">
      <c r="A37" s="428">
        <v>1</v>
      </c>
      <c r="B37" s="651">
        <v>30</v>
      </c>
      <c r="C37" s="429" t="s">
        <v>516</v>
      </c>
      <c r="D37" s="428" t="s">
        <v>1026</v>
      </c>
      <c r="E37" s="428" t="s">
        <v>1006</v>
      </c>
      <c r="F37" s="27"/>
      <c r="G37" s="496" t="s">
        <v>240</v>
      </c>
      <c r="H37" s="484" t="s">
        <v>256</v>
      </c>
      <c r="I37" s="480" t="s">
        <v>244</v>
      </c>
      <c r="J37" s="480"/>
      <c r="K37" s="481"/>
      <c r="L37" s="497" t="str">
        <f>VLOOKUP(B37,'radky_R'!A:O,15,0)</f>
        <v>Podíly - podstatný vliv</v>
      </c>
      <c r="M37" s="499">
        <f>IF($M$4="f",B37,IF($M$4="z",IF(OR(N37&lt;&gt;0,O37&lt;&gt;0,P37&lt;&gt;0,Q37&lt;&gt;0),B37,"-"),IF($M$4="m",IF(OR(N37&lt;&gt;0,O37&lt;&gt;0,P37&lt;&gt;0,Q37&lt;&gt;0),MAX(M$8:M36)+1,"-"))))</f>
        <v>30</v>
      </c>
      <c r="N37" s="121">
        <f>IF($E37="calc",ROUND($A37*SUMIFS(DATA!$Y:$Y,DATA!$C:$C,INDEX!$D$11,DATA!$X:$X,N$4,DATA!$N:$N,$C37,DATA!$S:$S,$B37),0)+S37,SUMIFS(N:N,$D:$D,$E37))</f>
        <v>0</v>
      </c>
      <c r="O37" s="121">
        <f>IF($E37="calc",ROUND($A37*SUMIFS(DATA!$Y:$Y,DATA!$C:$C,INDEX!$D$11,DATA!$X:$X,O$4,DATA!$N:$N,$C37,DATA!$S:$S,$B37),0),SUMIFS(O:O,$D:$D,$E37))</f>
        <v>0</v>
      </c>
      <c r="P37" s="121">
        <f t="shared" si="0"/>
        <v>0</v>
      </c>
      <c r="Q37" s="122">
        <f>IF($E37="calc",ROUND($A37*SUMIFS(DATA!$Y:$Y,DATA!$C:$C,INDEX!$E$11,DATA!$N:$N,$C37,DATA!$S:$S,$B37),0)+T37,SUMIFS(Q:Q,$D:$D,$E37))</f>
        <v>0</v>
      </c>
      <c r="R37" s="11"/>
      <c r="S37" s="719"/>
      <c r="T37" s="720"/>
    </row>
    <row r="38" spans="1:20" x14ac:dyDescent="0.3">
      <c r="A38" s="428">
        <v>1</v>
      </c>
      <c r="B38" s="651">
        <v>31</v>
      </c>
      <c r="C38" s="429" t="s">
        <v>516</v>
      </c>
      <c r="D38" s="428" t="s">
        <v>1026</v>
      </c>
      <c r="E38" s="428" t="s">
        <v>1006</v>
      </c>
      <c r="F38" s="27"/>
      <c r="G38" s="496" t="s">
        <v>240</v>
      </c>
      <c r="H38" s="484" t="s">
        <v>256</v>
      </c>
      <c r="I38" s="480" t="s">
        <v>245</v>
      </c>
      <c r="J38" s="480"/>
      <c r="K38" s="481"/>
      <c r="L38" s="497" t="str">
        <f>VLOOKUP(B38,'radky_R'!A:O,15,0)</f>
        <v>Zápůjčky a úvěry - podstatný vliv</v>
      </c>
      <c r="M38" s="499">
        <f>IF($M$4="f",B38,IF($M$4="z",IF(OR(N38&lt;&gt;0,O38&lt;&gt;0,P38&lt;&gt;0,Q38&lt;&gt;0),B38,"-"),IF($M$4="m",IF(OR(N38&lt;&gt;0,O38&lt;&gt;0,P38&lt;&gt;0,Q38&lt;&gt;0),MAX(M$8:M37)+1,"-"))))</f>
        <v>31</v>
      </c>
      <c r="N38" s="121">
        <f>IF($E38="calc",ROUND($A38*SUMIFS(DATA!$Y:$Y,DATA!$C:$C,INDEX!$D$11,DATA!$X:$X,N$4,DATA!$N:$N,$C38,DATA!$S:$S,$B38),0)+S38,SUMIFS(N:N,$D:$D,$E38))</f>
        <v>0</v>
      </c>
      <c r="O38" s="121">
        <f>IF($E38="calc",ROUND($A38*SUMIFS(DATA!$Y:$Y,DATA!$C:$C,INDEX!$D$11,DATA!$X:$X,O$4,DATA!$N:$N,$C38,DATA!$S:$S,$B38),0),SUMIFS(O:O,$D:$D,$E38))</f>
        <v>0</v>
      </c>
      <c r="P38" s="121">
        <f t="shared" si="0"/>
        <v>0</v>
      </c>
      <c r="Q38" s="122">
        <f>IF($E38="calc",ROUND($A38*SUMIFS(DATA!$Y:$Y,DATA!$C:$C,INDEX!$E$11,DATA!$N:$N,$C38,DATA!$S:$S,$B38),0)+T38,SUMIFS(Q:Q,$D:$D,$E38))</f>
        <v>0</v>
      </c>
      <c r="R38" s="11"/>
      <c r="S38" s="719"/>
      <c r="T38" s="720"/>
    </row>
    <row r="39" spans="1:20" x14ac:dyDescent="0.3">
      <c r="A39" s="428">
        <v>1</v>
      </c>
      <c r="B39" s="651">
        <v>32</v>
      </c>
      <c r="C39" s="429" t="s">
        <v>516</v>
      </c>
      <c r="D39" s="428" t="s">
        <v>1026</v>
      </c>
      <c r="E39" s="428" t="s">
        <v>1006</v>
      </c>
      <c r="F39" s="27"/>
      <c r="G39" s="496" t="s">
        <v>240</v>
      </c>
      <c r="H39" s="484" t="s">
        <v>256</v>
      </c>
      <c r="I39" s="480" t="s">
        <v>246</v>
      </c>
      <c r="J39" s="480"/>
      <c r="K39" s="481"/>
      <c r="L39" s="497" t="str">
        <f>VLOOKUP(B39,'radky_R'!A:O,15,0)</f>
        <v>Ostatní dlouhodobé cenné papíry a podíly</v>
      </c>
      <c r="M39" s="499">
        <f>IF($M$4="f",B39,IF($M$4="z",IF(OR(N39&lt;&gt;0,O39&lt;&gt;0,P39&lt;&gt;0,Q39&lt;&gt;0),B39,"-"),IF($M$4="m",IF(OR(N39&lt;&gt;0,O39&lt;&gt;0,P39&lt;&gt;0,Q39&lt;&gt;0),MAX(M$8:M38)+1,"-"))))</f>
        <v>32</v>
      </c>
      <c r="N39" s="121">
        <f>IF($E39="calc",ROUND($A39*SUMIFS(DATA!$Y:$Y,DATA!$C:$C,INDEX!$D$11,DATA!$X:$X,N$4,DATA!$N:$N,$C39,DATA!$S:$S,$B39),0)+S39,SUMIFS(N:N,$D:$D,$E39))</f>
        <v>0</v>
      </c>
      <c r="O39" s="121">
        <f>IF($E39="calc",ROUND($A39*SUMIFS(DATA!$Y:$Y,DATA!$C:$C,INDEX!$D$11,DATA!$X:$X,O$4,DATA!$N:$N,$C39,DATA!$S:$S,$B39),0),SUMIFS(O:O,$D:$D,$E39))</f>
        <v>0</v>
      </c>
      <c r="P39" s="121">
        <f t="shared" si="0"/>
        <v>0</v>
      </c>
      <c r="Q39" s="122">
        <f>IF($E39="calc",ROUND($A39*SUMIFS(DATA!$Y:$Y,DATA!$C:$C,INDEX!$E$11,DATA!$N:$N,$C39,DATA!$S:$S,$B39),0)+T39,SUMIFS(Q:Q,$D:$D,$E39))</f>
        <v>0</v>
      </c>
      <c r="R39" s="770" t="s">
        <v>620</v>
      </c>
      <c r="S39" s="719"/>
      <c r="T39" s="720"/>
    </row>
    <row r="40" spans="1:20" x14ac:dyDescent="0.3">
      <c r="A40" s="428">
        <v>1</v>
      </c>
      <c r="B40" s="651">
        <v>33</v>
      </c>
      <c r="C40" s="429" t="s">
        <v>516</v>
      </c>
      <c r="D40" s="428" t="s">
        <v>1026</v>
      </c>
      <c r="E40" s="428" t="s">
        <v>1006</v>
      </c>
      <c r="F40" s="27"/>
      <c r="G40" s="496" t="s">
        <v>240</v>
      </c>
      <c r="H40" s="484" t="s">
        <v>256</v>
      </c>
      <c r="I40" s="480" t="s">
        <v>247</v>
      </c>
      <c r="J40" s="480"/>
      <c r="K40" s="481"/>
      <c r="L40" s="497" t="str">
        <f>VLOOKUP(B40,'radky_R'!A:O,15,0)</f>
        <v>Zápůjčky a úvěry - ostatní</v>
      </c>
      <c r="M40" s="499">
        <f>IF($M$4="f",B40,IF($M$4="z",IF(OR(N40&lt;&gt;0,O40&lt;&gt;0,P40&lt;&gt;0,Q40&lt;&gt;0),B40,"-"),IF($M$4="m",IF(OR(N40&lt;&gt;0,O40&lt;&gt;0,P40&lt;&gt;0,Q40&lt;&gt;0),MAX(M$8:M39)+1,"-"))))</f>
        <v>33</v>
      </c>
      <c r="N40" s="121">
        <f>IF($E40="calc",ROUND($A40*SUMIFS(DATA!$Y:$Y,DATA!$C:$C,INDEX!$D$11,DATA!$X:$X,N$4,DATA!$N:$N,$C40,DATA!$S:$S,$B40),0)+S40,SUMIFS(N:N,$D:$D,$E40))</f>
        <v>0</v>
      </c>
      <c r="O40" s="121">
        <f>IF($E40="calc",ROUND($A40*SUMIFS(DATA!$Y:$Y,DATA!$C:$C,INDEX!$D$11,DATA!$X:$X,O$4,DATA!$N:$N,$C40,DATA!$S:$S,$B40),0),SUMIFS(O:O,$D:$D,$E40))</f>
        <v>0</v>
      </c>
      <c r="P40" s="121">
        <f t="shared" si="0"/>
        <v>0</v>
      </c>
      <c r="Q40" s="122">
        <f>IF($E40="calc",ROUND($A40*SUMIFS(DATA!$Y:$Y,DATA!$C:$C,INDEX!$E$11,DATA!$N:$N,$C40,DATA!$S:$S,$B40),0)+T40,SUMIFS(Q:Q,$D:$D,$E40))</f>
        <v>0</v>
      </c>
      <c r="R40" s="770"/>
      <c r="S40" s="745"/>
      <c r="T40" s="746"/>
    </row>
    <row r="41" spans="1:20" x14ac:dyDescent="0.3">
      <c r="A41" s="428">
        <v>1</v>
      </c>
      <c r="B41" s="651">
        <v>34</v>
      </c>
      <c r="C41" s="429" t="s">
        <v>516</v>
      </c>
      <c r="D41" s="428" t="s">
        <v>1026</v>
      </c>
      <c r="E41" s="428" t="s">
        <v>1027</v>
      </c>
      <c r="F41" s="27"/>
      <c r="G41" s="479" t="s">
        <v>240</v>
      </c>
      <c r="H41" s="484" t="s">
        <v>256</v>
      </c>
      <c r="I41" s="480" t="s">
        <v>248</v>
      </c>
      <c r="J41" s="480"/>
      <c r="K41" s="481"/>
      <c r="L41" s="485" t="str">
        <f>VLOOKUP(B41,'radky_R'!A:O,15,0)</f>
        <v>Ostatní dlouhodobý finanční majetek</v>
      </c>
      <c r="M41" s="486">
        <f>IF($M$4="f",B41,IF($M$4="z",IF(OR(N41&lt;&gt;0,O41&lt;&gt;0,P41&lt;&gt;0,Q41&lt;&gt;0),B41,"-"),IF($M$4="m",IF(OR(N41&lt;&gt;0,O41&lt;&gt;0,P41&lt;&gt;0,Q41&lt;&gt;0),MAX(M$8:M40)+1,"-"))))</f>
        <v>34</v>
      </c>
      <c r="N41" s="364">
        <f>IF($E41="calc",ROUND($A41*SUMIFS(DATA!$Y:$Y,DATA!$C:$C,INDEX!$D$11,DATA!$X:$X,N$4,DATA!$N:$N,$C41,DATA!$S:$S,$B41),0)+S41,SUMIFS(N:N,$D:$D,$E41))</f>
        <v>0</v>
      </c>
      <c r="O41" s="364">
        <f>IF($E41="calc",ROUND($A41*SUMIFS(DATA!$Y:$Y,DATA!$C:$C,INDEX!$D$11,DATA!$X:$X,O$4,DATA!$N:$N,$C41,DATA!$S:$S,$B41),0),SUMIFS(O:O,$D:$D,$E41))</f>
        <v>0</v>
      </c>
      <c r="P41" s="364">
        <f t="shared" si="0"/>
        <v>0</v>
      </c>
      <c r="Q41" s="365">
        <f>IF($E41="calc",ROUND($A41*SUMIFS(DATA!$Y:$Y,DATA!$C:$C,INDEX!$E$11,DATA!$N:$N,$C41,DATA!$S:$S,$B41),0)+T41,SUMIFS(Q:Q,$D:$D,$E41))</f>
        <v>0</v>
      </c>
      <c r="R41" s="770"/>
      <c r="S41" s="761"/>
      <c r="T41" s="761"/>
    </row>
    <row r="42" spans="1:20" s="367" customFormat="1" x14ac:dyDescent="0.3">
      <c r="A42" s="428">
        <v>1</v>
      </c>
      <c r="B42" s="652">
        <v>35</v>
      </c>
      <c r="C42" s="429" t="s">
        <v>516</v>
      </c>
      <c r="D42" s="428" t="s">
        <v>1027</v>
      </c>
      <c r="E42" s="434" t="s">
        <v>1006</v>
      </c>
      <c r="F42" s="366"/>
      <c r="G42" s="506"/>
      <c r="H42" s="501"/>
      <c r="I42" s="490"/>
      <c r="J42" s="490" t="s">
        <v>242</v>
      </c>
      <c r="K42" s="491"/>
      <c r="L42" s="492" t="str">
        <f>VLOOKUP(B42,'radky_R'!A:O,15,0)</f>
        <v>Jiný dlouhodobý finanční majetek</v>
      </c>
      <c r="M42" s="493">
        <f>IF($M$4="f",B42,IF($M$4="z",IF(OR(N42&lt;&gt;0,O42&lt;&gt;0,P42&lt;&gt;0,Q42&lt;&gt;0),B42,"-"),IF($M$4="m",IF(OR(N42&lt;&gt;0,O42&lt;&gt;0,P42&lt;&gt;0,Q42&lt;&gt;0),MAX(M$8:M41)+1,"-"))))</f>
        <v>35</v>
      </c>
      <c r="N42" s="368">
        <f>IF($E42="calc",ROUND($A42*SUMIFS(DATA!$Y:$Y,DATA!$C:$C,INDEX!$D$11,DATA!$X:$X,N$4,DATA!$N:$N,$C42,DATA!$S:$S,$B42),0)+S42,SUMIFS(N:N,$D:$D,$E42))</f>
        <v>0</v>
      </c>
      <c r="O42" s="368">
        <f>IF($E42="calc",ROUND($A42*SUMIFS(DATA!$Y:$Y,DATA!$C:$C,INDEX!$D$11,DATA!$X:$X,O$4,DATA!$N:$N,$C42,DATA!$S:$S,$B42),0),SUMIFS(O:O,$D:$D,$E42))</f>
        <v>0</v>
      </c>
      <c r="P42" s="368">
        <f t="shared" si="0"/>
        <v>0</v>
      </c>
      <c r="Q42" s="369">
        <f>IF($E42="calc",ROUND($A42*SUMIFS(DATA!$Y:$Y,DATA!$C:$C,INDEX!$E$11,DATA!$N:$N,$C42,DATA!$S:$S,$B42),0)+T42,SUMIFS(Q:Q,$D:$D,$E42))</f>
        <v>0</v>
      </c>
      <c r="R42" s="770"/>
      <c r="S42" s="741"/>
      <c r="T42" s="742"/>
    </row>
    <row r="43" spans="1:20" s="367" customFormat="1" ht="26.4" thickBot="1" x14ac:dyDescent="0.35">
      <c r="A43" s="428">
        <v>1</v>
      </c>
      <c r="B43" s="652">
        <v>36</v>
      </c>
      <c r="C43" s="429" t="s">
        <v>516</v>
      </c>
      <c r="D43" s="428" t="s">
        <v>1027</v>
      </c>
      <c r="E43" s="434" t="s">
        <v>1006</v>
      </c>
      <c r="F43" s="366"/>
      <c r="G43" s="510"/>
      <c r="H43" s="511"/>
      <c r="I43" s="512"/>
      <c r="J43" s="512" t="s">
        <v>243</v>
      </c>
      <c r="K43" s="512"/>
      <c r="L43" s="513" t="str">
        <f>VLOOKUP(B43,'radky_R'!A:O,15,0)</f>
        <v>Poskytnuté zálohy na dlouhodobý finanční majetek</v>
      </c>
      <c r="M43" s="514">
        <f>IF($M$4="f",B43,IF($M$4="z",IF(OR(N43&lt;&gt;0,O43&lt;&gt;0,P43&lt;&gt;0,Q43&lt;&gt;0),B43,"-"),IF($M$4="m",IF(OR(N43&lt;&gt;0,O43&lt;&gt;0,P43&lt;&gt;0,Q43&lt;&gt;0),MAX(M$8:M42)+1,"-"))))</f>
        <v>36</v>
      </c>
      <c r="N43" s="382">
        <f>IF($E43="calc",ROUND($A43*SUMIFS(DATA!$Y:$Y,DATA!$C:$C,INDEX!$D$11,DATA!$X:$X,N$4,DATA!$N:$N,$C43,DATA!$S:$S,$B43),0)+S43,SUMIFS(N:N,$D:$D,$E43))</f>
        <v>0</v>
      </c>
      <c r="O43" s="382">
        <f>IF($E43="calc",ROUND($A43*SUMIFS(DATA!$Y:$Y,DATA!$C:$C,INDEX!$D$11,DATA!$X:$X,O$4,DATA!$N:$N,$C43,DATA!$S:$S,$B43),0),SUMIFS(O:O,$D:$D,$E43))</f>
        <v>0</v>
      </c>
      <c r="P43" s="382">
        <f t="shared" si="0"/>
        <v>0</v>
      </c>
      <c r="Q43" s="383">
        <f>IF($E43="calc",ROUND($A43*SUMIFS(DATA!$Y:$Y,DATA!$C:$C,INDEX!$E$11,DATA!$N:$N,$C43,DATA!$S:$S,$B43),0)+T43,SUMIFS(Q:Q,$D:$D,$E43))</f>
        <v>0</v>
      </c>
      <c r="R43" s="770"/>
      <c r="S43" s="739"/>
      <c r="T43" s="740"/>
    </row>
    <row r="44" spans="1:20" x14ac:dyDescent="0.3">
      <c r="A44" s="428">
        <v>1</v>
      </c>
      <c r="B44" s="651">
        <v>37</v>
      </c>
      <c r="C44" s="429" t="s">
        <v>516</v>
      </c>
      <c r="D44" s="428" t="s">
        <v>1013</v>
      </c>
      <c r="E44" s="428" t="s">
        <v>265</v>
      </c>
      <c r="F44" s="27"/>
      <c r="G44" s="469" t="s">
        <v>265</v>
      </c>
      <c r="H44" s="470"/>
      <c r="I44" s="471"/>
      <c r="J44" s="471"/>
      <c r="K44" s="471"/>
      <c r="L44" s="472" t="str">
        <f>VLOOKUP(B44,'radky_R'!A:O,15,0)</f>
        <v>Oběžná aktiva      (ř. 38 + 46 + 68 + 71)</v>
      </c>
      <c r="M44" s="473">
        <f>IF($M$4="f",B44,IF($M$4="z",IF(OR(N44&lt;&gt;0,O44&lt;&gt;0,P44&lt;&gt;0,Q44&lt;&gt;0),B44,"-"),IF($M$4="m",IF(OR(N44&lt;&gt;0,O44&lt;&gt;0,P44&lt;&gt;0,Q44&lt;&gt;0),MAX(M$8:M43)+1,"-"))))</f>
        <v>37</v>
      </c>
      <c r="N44" s="115">
        <f>IF($E44="calc",ROUND($A44*SUMIFS(DATA!$Y:$Y,DATA!$C:$C,INDEX!$D$11,DATA!$X:$X,N$4,DATA!$N:$N,$C44,DATA!$S:$S,$B44),0)+S44,SUMIFS(N:N,$D:$D,$E44))</f>
        <v>0</v>
      </c>
      <c r="O44" s="115">
        <f>IF($E44="calc",ROUND($A44*SUMIFS(DATA!$Y:$Y,DATA!$C:$C,INDEX!$D$11,DATA!$X:$X,O$4,DATA!$N:$N,$C44,DATA!$S:$S,$B44),0),SUMIFS(O:O,$D:$D,$E44))</f>
        <v>0</v>
      </c>
      <c r="P44" s="115">
        <f t="shared" si="0"/>
        <v>0</v>
      </c>
      <c r="Q44" s="116">
        <f>IF($E44="calc",ROUND($A44*SUMIFS(DATA!$Y:$Y,DATA!$C:$C,INDEX!$E$11,DATA!$N:$N,$C44,DATA!$S:$S,$B44),0)+T44,SUMIFS(Q:Q,$D:$D,$E44))</f>
        <v>0</v>
      </c>
      <c r="R44" s="11"/>
      <c r="S44" s="759"/>
      <c r="T44" s="759"/>
    </row>
    <row r="45" spans="1:20" x14ac:dyDescent="0.3">
      <c r="A45" s="428">
        <v>1</v>
      </c>
      <c r="B45" s="651">
        <v>38</v>
      </c>
      <c r="C45" s="429" t="s">
        <v>516</v>
      </c>
      <c r="D45" s="428" t="s">
        <v>265</v>
      </c>
      <c r="E45" s="428" t="s">
        <v>1028</v>
      </c>
      <c r="F45" s="27"/>
      <c r="G45" s="508" t="s">
        <v>265</v>
      </c>
      <c r="H45" s="509" t="s">
        <v>241</v>
      </c>
      <c r="I45" s="515"/>
      <c r="J45" s="515"/>
      <c r="K45" s="515"/>
      <c r="L45" s="477" t="str">
        <f>VLOOKUP(B45,'radky_R'!A:O,15,0)</f>
        <v>Zásoby      (ř. 39 + 40 + 41 + 44 + 45)</v>
      </c>
      <c r="M45" s="478">
        <f>IF($M$4="f",B45,IF($M$4="z",IF(OR(N45&lt;&gt;0,O45&lt;&gt;0,P45&lt;&gt;0,Q45&lt;&gt;0),B45,"-"),IF($M$4="m",IF(OR(N45&lt;&gt;0,O45&lt;&gt;0,P45&lt;&gt;0,Q45&lt;&gt;0),MAX(M$8:M44)+1,"-"))))</f>
        <v>38</v>
      </c>
      <c r="N45" s="118">
        <f>IF($E45="calc",ROUND($A45*SUMIFS(DATA!$Y:$Y,DATA!$C:$C,INDEX!$D$11,DATA!$X:$X,N$4,DATA!$N:$N,$C45,DATA!$S:$S,$B45),0)+S45,SUMIFS(N:N,$D:$D,$E45))</f>
        <v>0</v>
      </c>
      <c r="O45" s="118">
        <f>IF($E45="calc",ROUND($A45*SUMIFS(DATA!$Y:$Y,DATA!$C:$C,INDEX!$D$11,DATA!$X:$X,O$4,DATA!$N:$N,$C45,DATA!$S:$S,$B45),0),SUMIFS(O:O,$D:$D,$E45))</f>
        <v>0</v>
      </c>
      <c r="P45" s="118">
        <f t="shared" si="0"/>
        <v>0</v>
      </c>
      <c r="Q45" s="119">
        <f>IF($E45="calc",ROUND($A45*SUMIFS(DATA!$Y:$Y,DATA!$C:$C,INDEX!$E$11,DATA!$N:$N,$C45,DATA!$S:$S,$B45),0)+T45,SUMIFS(Q:Q,$D:$D,$E45))</f>
        <v>0</v>
      </c>
      <c r="R45" s="11"/>
      <c r="S45" s="760"/>
      <c r="T45" s="760"/>
    </row>
    <row r="46" spans="1:20" x14ac:dyDescent="0.3">
      <c r="A46" s="428">
        <v>1</v>
      </c>
      <c r="B46" s="651">
        <v>39</v>
      </c>
      <c r="C46" s="429" t="s">
        <v>516</v>
      </c>
      <c r="D46" s="428" t="s">
        <v>1028</v>
      </c>
      <c r="E46" s="428" t="s">
        <v>1006</v>
      </c>
      <c r="F46" s="27"/>
      <c r="G46" s="496" t="s">
        <v>265</v>
      </c>
      <c r="H46" s="484" t="s">
        <v>241</v>
      </c>
      <c r="I46" s="480" t="s">
        <v>242</v>
      </c>
      <c r="J46" s="480"/>
      <c r="K46" s="481"/>
      <c r="L46" s="497" t="str">
        <f>VLOOKUP(B46,'radky_R'!A:O,15,0)</f>
        <v>Materiál</v>
      </c>
      <c r="M46" s="499">
        <f>IF($M$4="f",B46,IF($M$4="z",IF(OR(N46&lt;&gt;0,O46&lt;&gt;0,P46&lt;&gt;0,Q46&lt;&gt;0),B46,"-"),IF($M$4="m",IF(OR(N46&lt;&gt;0,O46&lt;&gt;0,P46&lt;&gt;0,Q46&lt;&gt;0),MAX(M$8:M45)+1,"-"))))</f>
        <v>39</v>
      </c>
      <c r="N46" s="121">
        <f>IF($E46="calc",ROUND($A46*SUMIFS(DATA!$Y:$Y,DATA!$C:$C,INDEX!$D$11,DATA!$X:$X,N$4,DATA!$N:$N,$C46,DATA!$S:$S,$B46),0)+S46,SUMIFS(N:N,$D:$D,$E46))</f>
        <v>0</v>
      </c>
      <c r="O46" s="121">
        <f>IF($E46="calc",ROUND($A46*SUMIFS(DATA!$Y:$Y,DATA!$C:$C,INDEX!$D$11,DATA!$X:$X,O$4,DATA!$N:$N,$C46,DATA!$S:$S,$B46),0),SUMIFS(O:O,$D:$D,$E46))</f>
        <v>0</v>
      </c>
      <c r="P46" s="121">
        <f t="shared" si="0"/>
        <v>0</v>
      </c>
      <c r="Q46" s="122">
        <f>IF($E46="calc",ROUND($A46*SUMIFS(DATA!$Y:$Y,DATA!$C:$C,INDEX!$E$11,DATA!$N:$N,$C46,DATA!$S:$S,$B46),0)+T46,SUMIFS(Q:Q,$D:$D,$E46))</f>
        <v>0</v>
      </c>
      <c r="R46" s="11"/>
      <c r="S46" s="737"/>
      <c r="T46" s="738"/>
    </row>
    <row r="47" spans="1:20" x14ac:dyDescent="0.3">
      <c r="A47" s="428">
        <v>1</v>
      </c>
      <c r="B47" s="651">
        <v>40</v>
      </c>
      <c r="C47" s="429" t="s">
        <v>516</v>
      </c>
      <c r="D47" s="428" t="s">
        <v>1028</v>
      </c>
      <c r="E47" s="428" t="s">
        <v>1006</v>
      </c>
      <c r="F47" s="27"/>
      <c r="G47" s="496" t="s">
        <v>265</v>
      </c>
      <c r="H47" s="484" t="s">
        <v>241</v>
      </c>
      <c r="I47" s="480" t="s">
        <v>243</v>
      </c>
      <c r="J47" s="480"/>
      <c r="K47" s="481"/>
      <c r="L47" s="497" t="str">
        <f>VLOOKUP(B47,'radky_R'!A:O,15,0)</f>
        <v>Nedokončená výroba a polotovary</v>
      </c>
      <c r="M47" s="498">
        <f>IF($M$4="f",B47,IF($M$4="z",IF(OR(N47&lt;&gt;0,O47&lt;&gt;0,P47&lt;&gt;0,Q47&lt;&gt;0),B47,"-"),IF($M$4="m",IF(OR(N47&lt;&gt;0,O47&lt;&gt;0,P47&lt;&gt;0,Q47&lt;&gt;0),MAX(M$8:M46)+1,"-"))))</f>
        <v>40</v>
      </c>
      <c r="N47" s="121">
        <f>IF($E47="calc",ROUND($A47*SUMIFS(DATA!$Y:$Y,DATA!$C:$C,INDEX!$D$11,DATA!$X:$X,N$4,DATA!$N:$N,$C47,DATA!$S:$S,$B47),0)+S47,SUMIFS(N:N,$D:$D,$E47))</f>
        <v>0</v>
      </c>
      <c r="O47" s="121">
        <f>IF($E47="calc",ROUND($A47*SUMIFS(DATA!$Y:$Y,DATA!$C:$C,INDEX!$D$11,DATA!$X:$X,O$4,DATA!$N:$N,$C47,DATA!$S:$S,$B47),0),SUMIFS(O:O,$D:$D,$E47))</f>
        <v>0</v>
      </c>
      <c r="P47" s="121">
        <f t="shared" si="0"/>
        <v>0</v>
      </c>
      <c r="Q47" s="122">
        <f>IF($E47="calc",ROUND($A47*SUMIFS(DATA!$Y:$Y,DATA!$C:$C,INDEX!$E$11,DATA!$N:$N,$C47,DATA!$S:$S,$B47),0)+T47,SUMIFS(Q:Q,$D:$D,$E47))</f>
        <v>0</v>
      </c>
      <c r="R47" s="11"/>
      <c r="S47" s="745"/>
      <c r="T47" s="746"/>
    </row>
    <row r="48" spans="1:20" x14ac:dyDescent="0.3">
      <c r="A48" s="428">
        <v>1</v>
      </c>
      <c r="B48" s="651">
        <v>41</v>
      </c>
      <c r="C48" s="429" t="s">
        <v>516</v>
      </c>
      <c r="D48" s="428" t="s">
        <v>1028</v>
      </c>
      <c r="E48" s="428" t="s">
        <v>1029</v>
      </c>
      <c r="F48" s="27"/>
      <c r="G48" s="479" t="s">
        <v>265</v>
      </c>
      <c r="H48" s="484" t="s">
        <v>241</v>
      </c>
      <c r="I48" s="480" t="s">
        <v>244</v>
      </c>
      <c r="J48" s="480"/>
      <c r="K48" s="481"/>
      <c r="L48" s="485" t="str">
        <f>VLOOKUP(B48,'radky_R'!A:O,15,0)</f>
        <v>Výrobky a zboží</v>
      </c>
      <c r="M48" s="516">
        <f>IF($M$4="f",B48,IF($M$4="z",IF(OR(N48&lt;&gt;0,O48&lt;&gt;0,P48&lt;&gt;0,Q48&lt;&gt;0),B48,"-"),IF($M$4="m",IF(OR(N48&lt;&gt;0,O48&lt;&gt;0,P48&lt;&gt;0,Q48&lt;&gt;0),MAX(M$8:M47)+1,"-"))))</f>
        <v>41</v>
      </c>
      <c r="N48" s="364">
        <f>IF($E48="calc",ROUND($A48*SUMIFS(DATA!$Y:$Y,DATA!$C:$C,INDEX!$D$11,DATA!$X:$X,N$4,DATA!$N:$N,$C48,DATA!$S:$S,$B48),0)+S48,SUMIFS(N:N,$D:$D,$E48))</f>
        <v>0</v>
      </c>
      <c r="O48" s="364">
        <f>IF($E48="calc",ROUND($A48*SUMIFS(DATA!$Y:$Y,DATA!$C:$C,INDEX!$D$11,DATA!$X:$X,O$4,DATA!$N:$N,$C48,DATA!$S:$S,$B48),0),SUMIFS(O:O,$D:$D,$E48))</f>
        <v>0</v>
      </c>
      <c r="P48" s="364">
        <f t="shared" si="0"/>
        <v>0</v>
      </c>
      <c r="Q48" s="365">
        <f>IF($E48="calc",ROUND($A48*SUMIFS(DATA!$Y:$Y,DATA!$C:$C,INDEX!$E$11,DATA!$N:$N,$C48,DATA!$S:$S,$B48),0)+T48,SUMIFS(Q:Q,$D:$D,$E48))</f>
        <v>0</v>
      </c>
      <c r="R48" s="11"/>
      <c r="S48" s="761"/>
      <c r="T48" s="761"/>
    </row>
    <row r="49" spans="1:20" s="367" customFormat="1" x14ac:dyDescent="0.3">
      <c r="A49" s="428">
        <v>1</v>
      </c>
      <c r="B49" s="652">
        <v>42</v>
      </c>
      <c r="C49" s="429" t="s">
        <v>516</v>
      </c>
      <c r="D49" s="428" t="s">
        <v>1029</v>
      </c>
      <c r="E49" s="434" t="s">
        <v>1006</v>
      </c>
      <c r="F49" s="366"/>
      <c r="G49" s="506"/>
      <c r="H49" s="501"/>
      <c r="I49" s="490"/>
      <c r="J49" s="490" t="s">
        <v>242</v>
      </c>
      <c r="K49" s="491"/>
      <c r="L49" s="492" t="str">
        <f>VLOOKUP(B49,'radky_R'!A:O,15,0)</f>
        <v>Výrobky</v>
      </c>
      <c r="M49" s="517">
        <f>IF($M$4="f",B49,IF($M$4="z",IF(OR(N49&lt;&gt;0,O49&lt;&gt;0,P49&lt;&gt;0,Q49&lt;&gt;0),B49,"-"),IF($M$4="m",IF(OR(N49&lt;&gt;0,O49&lt;&gt;0,P49&lt;&gt;0,Q49&lt;&gt;0),MAX(M$8:M48)+1,"-"))))</f>
        <v>42</v>
      </c>
      <c r="N49" s="368">
        <f>IF($E49="calc",ROUND($A49*SUMIFS(DATA!$Y:$Y,DATA!$C:$C,INDEX!$D$11,DATA!$X:$X,N$4,DATA!$N:$N,$C49,DATA!$S:$S,$B49),0)+S49,SUMIFS(N:N,$D:$D,$E49))</f>
        <v>0</v>
      </c>
      <c r="O49" s="368">
        <f>IF($E49="calc",ROUND($A49*SUMIFS(DATA!$Y:$Y,DATA!$C:$C,INDEX!$D$11,DATA!$X:$X,O$4,DATA!$N:$N,$C49,DATA!$S:$S,$B49),0),SUMIFS(O:O,$D:$D,$E49))</f>
        <v>0</v>
      </c>
      <c r="P49" s="368">
        <f t="shared" si="0"/>
        <v>0</v>
      </c>
      <c r="Q49" s="369">
        <f>IF($E49="calc",ROUND($A49*SUMIFS(DATA!$Y:$Y,DATA!$C:$C,INDEX!$E$11,DATA!$N:$N,$C49,DATA!$S:$S,$B49),0)+T49,SUMIFS(Q:Q,$D:$D,$E49))</f>
        <v>0</v>
      </c>
      <c r="S49" s="741"/>
      <c r="T49" s="742"/>
    </row>
    <row r="50" spans="1:20" s="367" customFormat="1" x14ac:dyDescent="0.3">
      <c r="A50" s="428">
        <v>1</v>
      </c>
      <c r="B50" s="652">
        <v>43</v>
      </c>
      <c r="C50" s="429" t="s">
        <v>516</v>
      </c>
      <c r="D50" s="428" t="s">
        <v>1029</v>
      </c>
      <c r="E50" s="434" t="s">
        <v>1006</v>
      </c>
      <c r="F50" s="366"/>
      <c r="G50" s="506"/>
      <c r="H50" s="501"/>
      <c r="I50" s="490"/>
      <c r="J50" s="490" t="s">
        <v>243</v>
      </c>
      <c r="K50" s="491"/>
      <c r="L50" s="494" t="str">
        <f>VLOOKUP(B50,'radky_R'!A:O,15,0)</f>
        <v>Zboží</v>
      </c>
      <c r="M50" s="518">
        <f>IF($M$4="f",B50,IF($M$4="z",IF(OR(N50&lt;&gt;0,O50&lt;&gt;0,P50&lt;&gt;0,Q50&lt;&gt;0),B50,"-"),IF($M$4="m",IF(OR(N50&lt;&gt;0,O50&lt;&gt;0,P50&lt;&gt;0,Q50&lt;&gt;0),MAX(M$8:M49)+1,"-"))))</f>
        <v>43</v>
      </c>
      <c r="N50" s="370">
        <f>IF($E50="calc",ROUND($A50*SUMIFS(DATA!$Y:$Y,DATA!$C:$C,INDEX!$D$11,DATA!$X:$X,N$4,DATA!$N:$N,$C50,DATA!$S:$S,$B50),0)+S50,SUMIFS(N:N,$D:$D,$E50))</f>
        <v>0</v>
      </c>
      <c r="O50" s="370">
        <f>IF($E50="calc",ROUND($A50*SUMIFS(DATA!$Y:$Y,DATA!$C:$C,INDEX!$D$11,DATA!$X:$X,O$4,DATA!$N:$N,$C50,DATA!$S:$S,$B50),0),SUMIFS(O:O,$D:$D,$E50))</f>
        <v>0</v>
      </c>
      <c r="P50" s="370">
        <f t="shared" si="0"/>
        <v>0</v>
      </c>
      <c r="Q50" s="371">
        <f>IF($E50="calc",ROUND($A50*SUMIFS(DATA!$Y:$Y,DATA!$C:$C,INDEX!$E$11,DATA!$N:$N,$C50,DATA!$S:$S,$B50),0)+T50,SUMIFS(Q:Q,$D:$D,$E50))</f>
        <v>0</v>
      </c>
      <c r="S50" s="743"/>
      <c r="T50" s="744"/>
    </row>
    <row r="51" spans="1:20" x14ac:dyDescent="0.3">
      <c r="A51" s="428">
        <v>1</v>
      </c>
      <c r="B51" s="651">
        <v>44</v>
      </c>
      <c r="C51" s="429" t="s">
        <v>516</v>
      </c>
      <c r="D51" s="428" t="s">
        <v>1028</v>
      </c>
      <c r="E51" s="428" t="s">
        <v>1006</v>
      </c>
      <c r="F51" s="27"/>
      <c r="G51" s="496" t="s">
        <v>265</v>
      </c>
      <c r="H51" s="484" t="s">
        <v>241</v>
      </c>
      <c r="I51" s="480" t="s">
        <v>245</v>
      </c>
      <c r="J51" s="480"/>
      <c r="K51" s="481"/>
      <c r="L51" s="497" t="str">
        <f>VLOOKUP(B51,'radky_R'!A:O,15,0)</f>
        <v>Mladá a ostatní zvířata a jejich skupiny</v>
      </c>
      <c r="M51" s="498">
        <f>IF($M$4="f",B51,IF($M$4="z",IF(OR(N51&lt;&gt;0,O51&lt;&gt;0,P51&lt;&gt;0,Q51&lt;&gt;0),B51,"-"),IF($M$4="m",IF(OR(N51&lt;&gt;0,O51&lt;&gt;0,P51&lt;&gt;0,Q51&lt;&gt;0),MAX(M$8:M50)+1,"-"))))</f>
        <v>44</v>
      </c>
      <c r="N51" s="121">
        <f>IF($E51="calc",ROUND($A51*SUMIFS(DATA!$Y:$Y,DATA!$C:$C,INDEX!$D$11,DATA!$X:$X,N$4,DATA!$N:$N,$C51,DATA!$S:$S,$B51),0)+S51,SUMIFS(N:N,$D:$D,$E51))</f>
        <v>0</v>
      </c>
      <c r="O51" s="121">
        <f>IF($E51="calc",ROUND($A51*SUMIFS(DATA!$Y:$Y,DATA!$C:$C,INDEX!$D$11,DATA!$X:$X,O$4,DATA!$N:$N,$C51,DATA!$S:$S,$B51),0),SUMIFS(O:O,$D:$D,$E51))</f>
        <v>0</v>
      </c>
      <c r="P51" s="121">
        <f t="shared" si="0"/>
        <v>0</v>
      </c>
      <c r="Q51" s="122">
        <f>IF($E51="calc",ROUND($A51*SUMIFS(DATA!$Y:$Y,DATA!$C:$C,INDEX!$E$11,DATA!$N:$N,$C51,DATA!$S:$S,$B51),0)+T51,SUMIFS(Q:Q,$D:$D,$E51))</f>
        <v>0</v>
      </c>
      <c r="R51" s="11"/>
      <c r="S51" s="719"/>
      <c r="T51" s="720"/>
    </row>
    <row r="52" spans="1:20" x14ac:dyDescent="0.3">
      <c r="A52" s="428">
        <v>1</v>
      </c>
      <c r="B52" s="651">
        <v>45</v>
      </c>
      <c r="C52" s="429" t="s">
        <v>516</v>
      </c>
      <c r="D52" s="428" t="s">
        <v>1028</v>
      </c>
      <c r="E52" s="428" t="s">
        <v>1006</v>
      </c>
      <c r="F52" s="27"/>
      <c r="G52" s="519" t="s">
        <v>265</v>
      </c>
      <c r="H52" s="520" t="s">
        <v>241</v>
      </c>
      <c r="I52" s="521" t="s">
        <v>246</v>
      </c>
      <c r="J52" s="521"/>
      <c r="K52" s="522"/>
      <c r="L52" s="497" t="str">
        <f>VLOOKUP(B52,'radky_R'!A:O,15,0)</f>
        <v>Poskytnuté zálohy na zásoby</v>
      </c>
      <c r="M52" s="498">
        <f>IF($M$4="f",B52,IF($M$4="z",IF(OR(N52&lt;&gt;0,O52&lt;&gt;0,P52&lt;&gt;0,Q52&lt;&gt;0),B52,"-"),IF($M$4="m",IF(OR(N52&lt;&gt;0,O52&lt;&gt;0,P52&lt;&gt;0,Q52&lt;&gt;0),MAX(M$8:M51)+1,"-"))))</f>
        <v>45</v>
      </c>
      <c r="N52" s="121">
        <f>IF($E52="calc",ROUND($A52*SUMIFS(DATA!$Y:$Y,DATA!$C:$C,INDEX!$D$11,DATA!$X:$X,N$4,DATA!$N:$N,$C52,DATA!$S:$S,$B52),0)+S52,SUMIFS(N:N,$D:$D,$E52))</f>
        <v>0</v>
      </c>
      <c r="O52" s="121">
        <f>IF($E52="calc",ROUND($A52*SUMIFS(DATA!$Y:$Y,DATA!$C:$C,INDEX!$D$11,DATA!$X:$X,O$4,DATA!$N:$N,$C52,DATA!$S:$S,$B52),0),SUMIFS(O:O,$D:$D,$E52))</f>
        <v>0</v>
      </c>
      <c r="P52" s="121">
        <f t="shared" si="0"/>
        <v>0</v>
      </c>
      <c r="Q52" s="122">
        <f>IF($E52="calc",ROUND($A52*SUMIFS(DATA!$Y:$Y,DATA!$C:$C,INDEX!$E$11,DATA!$N:$N,$C52,DATA!$S:$S,$B52),0)+T52,SUMIFS(Q:Q,$D:$D,$E52))</f>
        <v>0</v>
      </c>
      <c r="R52" s="11"/>
      <c r="S52" s="745"/>
      <c r="T52" s="746"/>
    </row>
    <row r="53" spans="1:20" x14ac:dyDescent="0.3">
      <c r="A53" s="428">
        <v>1</v>
      </c>
      <c r="B53" s="651">
        <v>46</v>
      </c>
      <c r="C53" s="429" t="s">
        <v>516</v>
      </c>
      <c r="D53" s="428" t="s">
        <v>265</v>
      </c>
      <c r="E53" s="428" t="s">
        <v>1030</v>
      </c>
      <c r="F53" s="27"/>
      <c r="G53" s="474" t="s">
        <v>265</v>
      </c>
      <c r="H53" s="475" t="s">
        <v>251</v>
      </c>
      <c r="I53" s="476"/>
      <c r="J53" s="476"/>
      <c r="K53" s="476"/>
      <c r="L53" s="477" t="str">
        <f>VLOOKUP(B53,'radky_R'!A:O,15,0)</f>
        <v>Pohledávky      (ř. 47 + 57)</v>
      </c>
      <c r="M53" s="478">
        <f>IF($M$4="f",B53,IF($M$4="z",IF(OR(N53&lt;&gt;0,O53&lt;&gt;0,P53&lt;&gt;0,Q53&lt;&gt;0),B53,"-"),IF($M$4="m",IF(OR(N53&lt;&gt;0,O53&lt;&gt;0,P53&lt;&gt;0,Q53&lt;&gt;0),MAX(M$8:M52)+1,"-"))))</f>
        <v>46</v>
      </c>
      <c r="N53" s="118">
        <f>IF($E53="calc",ROUND($A53*SUMIFS(DATA!$Y:$Y,DATA!$C:$C,INDEX!$D$11,DATA!$X:$X,N$4,DATA!$N:$N,$C53,DATA!$S:$S,$B53),0)+S53,SUMIFS(N:N,$D:$D,$E53))</f>
        <v>0</v>
      </c>
      <c r="O53" s="118">
        <f>IF($E53="calc",ROUND($A53*SUMIFS(DATA!$Y:$Y,DATA!$C:$C,INDEX!$D$11,DATA!$X:$X,O$4,DATA!$N:$N,$C53,DATA!$S:$S,$B53),0),SUMIFS(O:O,$D:$D,$E53))</f>
        <v>0</v>
      </c>
      <c r="P53" s="118">
        <f t="shared" si="0"/>
        <v>0</v>
      </c>
      <c r="Q53" s="119">
        <f>IF($E53="calc",ROUND($A53*SUMIFS(DATA!$Y:$Y,DATA!$C:$C,INDEX!$E$11,DATA!$N:$N,$C53,DATA!$S:$S,$B53),0)+T53,SUMIFS(Q:Q,$D:$D,$E53))</f>
        <v>0</v>
      </c>
      <c r="R53" s="11"/>
      <c r="S53" s="759"/>
      <c r="T53" s="759"/>
    </row>
    <row r="54" spans="1:20" x14ac:dyDescent="0.3">
      <c r="A54" s="428">
        <v>1</v>
      </c>
      <c r="B54" s="651">
        <v>47</v>
      </c>
      <c r="C54" s="429" t="s">
        <v>516</v>
      </c>
      <c r="D54" s="428" t="s">
        <v>1030</v>
      </c>
      <c r="E54" s="428" t="s">
        <v>1031</v>
      </c>
      <c r="F54" s="27"/>
      <c r="G54" s="479" t="s">
        <v>265</v>
      </c>
      <c r="H54" s="484" t="s">
        <v>251</v>
      </c>
      <c r="I54" s="480" t="s">
        <v>242</v>
      </c>
      <c r="J54" s="480"/>
      <c r="K54" s="481"/>
      <c r="L54" s="485" t="str">
        <f>VLOOKUP(B54,'radky_R'!A:O,15,0)</f>
        <v>Dlouhodobé pohledávky</v>
      </c>
      <c r="M54" s="516">
        <f>IF($M$4="f",B54,IF($M$4="z",IF(OR(N54&lt;&gt;0,O54&lt;&gt;0,P54&lt;&gt;0,Q54&lt;&gt;0),B54,"-"),IF($M$4="m",IF(OR(N54&lt;&gt;0,O54&lt;&gt;0,P54&lt;&gt;0,Q54&lt;&gt;0),MAX(M$8:M53)+1,"-"))))</f>
        <v>47</v>
      </c>
      <c r="N54" s="364">
        <f>IF($E54="calc",ROUND($A54*SUMIFS(DATA!$Y:$Y,DATA!$C:$C,INDEX!$D$11,DATA!$X:$X,N$4,DATA!$N:$N,$C54,DATA!$S:$S,$B54),0)+S54,SUMIFS(N:N,$D:$D,$E54))</f>
        <v>0</v>
      </c>
      <c r="O54" s="364">
        <f>IF($E54="calc",ROUND($A54*SUMIFS(DATA!$Y:$Y,DATA!$C:$C,INDEX!$D$11,DATA!$X:$X,O$4,DATA!$N:$N,$C54,DATA!$S:$S,$B54),0),SUMIFS(O:O,$D:$D,$E54))</f>
        <v>0</v>
      </c>
      <c r="P54" s="364">
        <f t="shared" si="0"/>
        <v>0</v>
      </c>
      <c r="Q54" s="365">
        <f>IF($E54="calc",ROUND($A54*SUMIFS(DATA!$Y:$Y,DATA!$C:$C,INDEX!$E$11,DATA!$N:$N,$C54,DATA!$S:$S,$B54),0)+T54,SUMIFS(Q:Q,$D:$D,$E54))</f>
        <v>0</v>
      </c>
      <c r="R54" s="11"/>
      <c r="S54" s="760"/>
      <c r="T54" s="760"/>
    </row>
    <row r="55" spans="1:20" s="367" customFormat="1" x14ac:dyDescent="0.3">
      <c r="A55" s="428">
        <v>1</v>
      </c>
      <c r="B55" s="652">
        <v>48</v>
      </c>
      <c r="C55" s="429" t="s">
        <v>516</v>
      </c>
      <c r="D55" s="428" t="s">
        <v>1031</v>
      </c>
      <c r="E55" s="434" t="s">
        <v>1006</v>
      </c>
      <c r="F55" s="366"/>
      <c r="G55" s="506"/>
      <c r="H55" s="501"/>
      <c r="I55" s="490"/>
      <c r="J55" s="490" t="s">
        <v>242</v>
      </c>
      <c r="K55" s="491"/>
      <c r="L55" s="492" t="str">
        <f>VLOOKUP(B55,'radky_R'!A:O,15,0)</f>
        <v>Pohledávky z obchodních vztahů</v>
      </c>
      <c r="M55" s="517">
        <f>IF($M$4="f",B55,IF($M$4="z",IF(OR(N55&lt;&gt;0,O55&lt;&gt;0,P55&lt;&gt;0,Q55&lt;&gt;0),B55,"-"),IF($M$4="m",IF(OR(N55&lt;&gt;0,O55&lt;&gt;0,P55&lt;&gt;0,Q55&lt;&gt;0),MAX(M$8:M54)+1,"-"))))</f>
        <v>48</v>
      </c>
      <c r="N55" s="368">
        <f>IF($E55="calc",ROUND($A55*SUMIFS(DATA!$Y:$Y,DATA!$C:$C,INDEX!$D$11,DATA!$X:$X,N$4,DATA!$N:$N,$C55,DATA!$S:$S,$B55),0)+S55,SUMIFS(N:N,$D:$D,$E55))</f>
        <v>0</v>
      </c>
      <c r="O55" s="368">
        <f>IF($E55="calc",ROUND($A55*SUMIFS(DATA!$Y:$Y,DATA!$C:$C,INDEX!$D$11,DATA!$X:$X,O$4,DATA!$N:$N,$C55,DATA!$S:$S,$B55),0),SUMIFS(O:O,$D:$D,$E55))</f>
        <v>0</v>
      </c>
      <c r="P55" s="368">
        <f t="shared" si="0"/>
        <v>0</v>
      </c>
      <c r="Q55" s="369">
        <f>IF($E55="calc",ROUND($A55*SUMIFS(DATA!$Y:$Y,DATA!$C:$C,INDEX!$E$11,DATA!$N:$N,$C55,DATA!$S:$S,$B55),0)+T55,SUMIFS(Q:Q,$D:$D,$E55))</f>
        <v>0</v>
      </c>
      <c r="S55" s="741"/>
      <c r="T55" s="742"/>
    </row>
    <row r="56" spans="1:20" s="367" customFormat="1" x14ac:dyDescent="0.3">
      <c r="A56" s="428">
        <v>1</v>
      </c>
      <c r="B56" s="652">
        <v>49</v>
      </c>
      <c r="C56" s="429" t="s">
        <v>516</v>
      </c>
      <c r="D56" s="428" t="s">
        <v>1031</v>
      </c>
      <c r="E56" s="434" t="s">
        <v>1006</v>
      </c>
      <c r="F56" s="366"/>
      <c r="G56" s="506"/>
      <c r="H56" s="501"/>
      <c r="I56" s="490"/>
      <c r="J56" s="490" t="s">
        <v>243</v>
      </c>
      <c r="K56" s="491"/>
      <c r="L56" s="492" t="str">
        <f>VLOOKUP(B56,'radky_R'!A:O,15,0)</f>
        <v>Pohledávky - ovládaná nebo ovládající osoba</v>
      </c>
      <c r="M56" s="517">
        <f>IF($M$4="f",B56,IF($M$4="z",IF(OR(N56&lt;&gt;0,O56&lt;&gt;0,P56&lt;&gt;0,Q56&lt;&gt;0),B56,"-"),IF($M$4="m",IF(OR(N56&lt;&gt;0,O56&lt;&gt;0,P56&lt;&gt;0,Q56&lt;&gt;0),MAX(M$8:M55)+1,"-"))))</f>
        <v>49</v>
      </c>
      <c r="N56" s="368">
        <f>IF($E56="calc",ROUND($A56*SUMIFS(DATA!$Y:$Y,DATA!$C:$C,INDEX!$D$11,DATA!$X:$X,N$4,DATA!$N:$N,$C56,DATA!$S:$S,$B56),0)+S56,SUMIFS(N:N,$D:$D,$E56))</f>
        <v>0</v>
      </c>
      <c r="O56" s="368">
        <f>IF($E56="calc",ROUND($A56*SUMIFS(DATA!$Y:$Y,DATA!$C:$C,INDEX!$D$11,DATA!$X:$X,O$4,DATA!$N:$N,$C56,DATA!$S:$S,$B56),0),SUMIFS(O:O,$D:$D,$E56))</f>
        <v>0</v>
      </c>
      <c r="P56" s="368">
        <f t="shared" si="0"/>
        <v>0</v>
      </c>
      <c r="Q56" s="369">
        <f>IF($E56="calc",ROUND($A56*SUMIFS(DATA!$Y:$Y,DATA!$C:$C,INDEX!$E$11,DATA!$N:$N,$C56,DATA!$S:$S,$B56),0)+T56,SUMIFS(Q:Q,$D:$D,$E56))</f>
        <v>0</v>
      </c>
      <c r="S56" s="743"/>
      <c r="T56" s="744"/>
    </row>
    <row r="57" spans="1:20" s="367" customFormat="1" x14ac:dyDescent="0.3">
      <c r="A57" s="428">
        <v>1</v>
      </c>
      <c r="B57" s="652">
        <v>50</v>
      </c>
      <c r="C57" s="429" t="s">
        <v>516</v>
      </c>
      <c r="D57" s="428" t="s">
        <v>1031</v>
      </c>
      <c r="E57" s="434" t="s">
        <v>1006</v>
      </c>
      <c r="F57" s="366"/>
      <c r="G57" s="506"/>
      <c r="H57" s="501"/>
      <c r="I57" s="490"/>
      <c r="J57" s="490">
        <v>3</v>
      </c>
      <c r="K57" s="491"/>
      <c r="L57" s="492" t="str">
        <f>VLOOKUP(B57,'radky_R'!A:O,15,0)</f>
        <v>Pohledávky - podstatný vliv</v>
      </c>
      <c r="M57" s="517">
        <f>IF($M$4="f",B57,IF($M$4="z",IF(OR(N57&lt;&gt;0,O57&lt;&gt;0,P57&lt;&gt;0,Q57&lt;&gt;0),B57,"-"),IF($M$4="m",IF(OR(N57&lt;&gt;0,O57&lt;&gt;0,P57&lt;&gt;0,Q57&lt;&gt;0),MAX(M$8:M56)+1,"-"))))</f>
        <v>50</v>
      </c>
      <c r="N57" s="368">
        <f>IF($E57="calc",ROUND($A57*SUMIFS(DATA!$Y:$Y,DATA!$C:$C,INDEX!$D$11,DATA!$X:$X,N$4,DATA!$N:$N,$C57,DATA!$S:$S,$B57),0)+S57,SUMIFS(N:N,$D:$D,$E57))</f>
        <v>0</v>
      </c>
      <c r="O57" s="368">
        <f>IF($E57="calc",ROUND($A57*SUMIFS(DATA!$Y:$Y,DATA!$C:$C,INDEX!$D$11,DATA!$X:$X,O$4,DATA!$N:$N,$C57,DATA!$S:$S,$B57),0),SUMIFS(O:O,$D:$D,$E57))</f>
        <v>0</v>
      </c>
      <c r="P57" s="368">
        <f t="shared" si="0"/>
        <v>0</v>
      </c>
      <c r="Q57" s="369">
        <f>IF($E57="calc",ROUND($A57*SUMIFS(DATA!$Y:$Y,DATA!$C:$C,INDEX!$E$11,DATA!$N:$N,$C57,DATA!$S:$S,$B57),0)+T57,SUMIFS(Q:Q,$D:$D,$E57))</f>
        <v>0</v>
      </c>
      <c r="S57" s="743"/>
      <c r="T57" s="744"/>
    </row>
    <row r="58" spans="1:20" s="367" customFormat="1" x14ac:dyDescent="0.3">
      <c r="A58" s="428">
        <v>1</v>
      </c>
      <c r="B58" s="652">
        <v>51</v>
      </c>
      <c r="C58" s="429" t="s">
        <v>516</v>
      </c>
      <c r="D58" s="428" t="s">
        <v>1031</v>
      </c>
      <c r="E58" s="434" t="s">
        <v>1006</v>
      </c>
      <c r="F58" s="366"/>
      <c r="G58" s="506"/>
      <c r="H58" s="501"/>
      <c r="I58" s="490"/>
      <c r="J58" s="490">
        <v>4</v>
      </c>
      <c r="K58" s="491"/>
      <c r="L58" s="492" t="str">
        <f>VLOOKUP(B58,'radky_R'!A:O,15,0)</f>
        <v>Odložená daňová pohledávka</v>
      </c>
      <c r="M58" s="517">
        <f>IF($M$4="f",B58,IF($M$4="z",IF(OR(N58&lt;&gt;0,O58&lt;&gt;0,P58&lt;&gt;0,Q58&lt;&gt;0),B58,"-"),IF($M$4="m",IF(OR(N58&lt;&gt;0,O58&lt;&gt;0,P58&lt;&gt;0,Q58&lt;&gt;0),MAX(M$8:M57)+1,"-"))))</f>
        <v>51</v>
      </c>
      <c r="N58" s="368">
        <f>IF($E58="calc",ROUND($A58*SUMIFS(DATA!$Y:$Y,DATA!$C:$C,INDEX!$D$11,DATA!$X:$X,N$4,DATA!$N:$N,$C58,DATA!$S:$S,$B58),0)+S58,SUMIFS(N:N,$D:$D,$E58))</f>
        <v>0</v>
      </c>
      <c r="O58" s="368">
        <f>IF($E58="calc",ROUND($A58*SUMIFS(DATA!$Y:$Y,DATA!$C:$C,INDEX!$D$11,DATA!$X:$X,O$4,DATA!$N:$N,$C58,DATA!$S:$S,$B58),0),SUMIFS(O:O,$D:$D,$E58))</f>
        <v>0</v>
      </c>
      <c r="P58" s="368">
        <f t="shared" si="0"/>
        <v>0</v>
      </c>
      <c r="Q58" s="369">
        <f>IF($E58="calc",ROUND($A58*SUMIFS(DATA!$Y:$Y,DATA!$C:$C,INDEX!$E$11,DATA!$N:$N,$C58,DATA!$S:$S,$B58),0)+T58,SUMIFS(Q:Q,$D:$D,$E58))</f>
        <v>0</v>
      </c>
      <c r="S58" s="739"/>
      <c r="T58" s="740"/>
    </row>
    <row r="59" spans="1:20" s="367" customFormat="1" x14ac:dyDescent="0.3">
      <c r="A59" s="428">
        <v>1</v>
      </c>
      <c r="B59" s="652">
        <v>52</v>
      </c>
      <c r="C59" s="429" t="s">
        <v>516</v>
      </c>
      <c r="D59" s="428" t="s">
        <v>1031</v>
      </c>
      <c r="E59" s="434" t="s">
        <v>1032</v>
      </c>
      <c r="F59" s="366"/>
      <c r="G59" s="506"/>
      <c r="H59" s="501"/>
      <c r="I59" s="490"/>
      <c r="J59" s="490">
        <v>5</v>
      </c>
      <c r="K59" s="491"/>
      <c r="L59" s="492" t="str">
        <f>VLOOKUP(B59,'radky_R'!A:O,15,0)</f>
        <v>Pohledávky - ostatní</v>
      </c>
      <c r="M59" s="517">
        <f>IF($M$4="f",B59,IF($M$4="z",IF(OR(N59&lt;&gt;0,O59&lt;&gt;0,P59&lt;&gt;0,Q59&lt;&gt;0),B59,"-"),IF($M$4="m",IF(OR(N59&lt;&gt;0,O59&lt;&gt;0,P59&lt;&gt;0,Q59&lt;&gt;0),MAX(M$8:M58)+1,"-"))))</f>
        <v>52</v>
      </c>
      <c r="N59" s="368">
        <f>IF($E59="calc",ROUND($A59*SUMIFS(DATA!$Y:$Y,DATA!$C:$C,INDEX!$D$11,DATA!$X:$X,N$4,DATA!$N:$N,$C59,DATA!$S:$S,$B59),0)+S59,SUMIFS(N:N,$D:$D,$E59))</f>
        <v>0</v>
      </c>
      <c r="O59" s="368">
        <f>IF($E59="calc",ROUND($A59*SUMIFS(DATA!$Y:$Y,DATA!$C:$C,INDEX!$D$11,DATA!$X:$X,O$4,DATA!$N:$N,$C59,DATA!$S:$S,$B59),0),SUMIFS(O:O,$D:$D,$E59))</f>
        <v>0</v>
      </c>
      <c r="P59" s="368">
        <f t="shared" si="0"/>
        <v>0</v>
      </c>
      <c r="Q59" s="369">
        <f>IF($E59="calc",ROUND($A59*SUMIFS(DATA!$Y:$Y,DATA!$C:$C,INDEX!$E$11,DATA!$N:$N,$C59,DATA!$S:$S,$B59),0)+T59,SUMIFS(Q:Q,$D:$D,$E59))</f>
        <v>0</v>
      </c>
      <c r="S59" s="761"/>
      <c r="T59" s="761"/>
    </row>
    <row r="60" spans="1:20" s="375" customFormat="1" ht="21" x14ac:dyDescent="0.3">
      <c r="A60" s="428">
        <v>1</v>
      </c>
      <c r="B60" s="652">
        <v>53</v>
      </c>
      <c r="C60" s="429" t="s">
        <v>516</v>
      </c>
      <c r="D60" s="434" t="s">
        <v>1032</v>
      </c>
      <c r="E60" s="434" t="s">
        <v>1006</v>
      </c>
      <c r="F60" s="372"/>
      <c r="G60" s="523"/>
      <c r="H60" s="524"/>
      <c r="I60" s="525"/>
      <c r="J60" s="525"/>
      <c r="K60" s="526" t="s">
        <v>242</v>
      </c>
      <c r="L60" s="527" t="str">
        <f>VLOOKUP(B60,'radky_R'!A:O,15,0)</f>
        <v>Pohledávky za společníky</v>
      </c>
      <c r="M60" s="528">
        <f>IF($M$4="f",B60,IF($M$4="z",IF(OR(N60&lt;&gt;0,O60&lt;&gt;0,P60&lt;&gt;0,Q60&lt;&gt;0),B60,"-"),IF($M$4="m",IF(OR(N60&lt;&gt;0,O60&lt;&gt;0,P60&lt;&gt;0,Q60&lt;&gt;0),MAX(M$8:M59)+1,"-"))))</f>
        <v>53</v>
      </c>
      <c r="N60" s="373">
        <f>IF($E60="calc",ROUND($A60*SUMIFS(DATA!$Y:$Y,DATA!$C:$C,INDEX!$D$11,DATA!$X:$X,N$4,DATA!$N:$N,$C60,DATA!$S:$S,$B60),0)+S60,SUMIFS(N:N,$D:$D,$E60))</f>
        <v>0</v>
      </c>
      <c r="O60" s="373">
        <f>IF($E60="calc",ROUND($A60*SUMIFS(DATA!$Y:$Y,DATA!$C:$C,INDEX!$D$11,DATA!$X:$X,O$4,DATA!$N:$N,$C60,DATA!$S:$S,$B60),0),SUMIFS(O:O,$D:$D,$E60))</f>
        <v>0</v>
      </c>
      <c r="P60" s="373">
        <f t="shared" si="0"/>
        <v>0</v>
      </c>
      <c r="Q60" s="374">
        <f>IF($E60="calc",ROUND($A60*SUMIFS(DATA!$Y:$Y,DATA!$C:$C,INDEX!$E$11,DATA!$N:$N,$C60,DATA!$S:$S,$B60),0)+T60,SUMIFS(Q:Q,$D:$D,$E60))</f>
        <v>0</v>
      </c>
      <c r="S60" s="741"/>
      <c r="T60" s="742"/>
    </row>
    <row r="61" spans="1:20" s="375" customFormat="1" ht="21" x14ac:dyDescent="0.3">
      <c r="A61" s="428">
        <v>1</v>
      </c>
      <c r="B61" s="652">
        <v>54</v>
      </c>
      <c r="C61" s="429" t="s">
        <v>516</v>
      </c>
      <c r="D61" s="434" t="s">
        <v>1032</v>
      </c>
      <c r="E61" s="434" t="s">
        <v>1006</v>
      </c>
      <c r="F61" s="372"/>
      <c r="G61" s="523"/>
      <c r="H61" s="524"/>
      <c r="I61" s="525"/>
      <c r="J61" s="525"/>
      <c r="K61" s="526" t="s">
        <v>243</v>
      </c>
      <c r="L61" s="527" t="str">
        <f>VLOOKUP(B61,'radky_R'!A:O,15,0)</f>
        <v>Dlouhodobé poskytnuté zálohy</v>
      </c>
      <c r="M61" s="528">
        <f>IF($M$4="f",B61,IF($M$4="z",IF(OR(N61&lt;&gt;0,O61&lt;&gt;0,P61&lt;&gt;0,Q61&lt;&gt;0),B61,"-"),IF($M$4="m",IF(OR(N61&lt;&gt;0,O61&lt;&gt;0,P61&lt;&gt;0,Q61&lt;&gt;0),MAX(M$8:M60)+1,"-"))))</f>
        <v>54</v>
      </c>
      <c r="N61" s="373">
        <f>IF($E61="calc",ROUND($A61*SUMIFS(DATA!$Y:$Y,DATA!$C:$C,INDEX!$D$11,DATA!$X:$X,N$4,DATA!$N:$N,$C61,DATA!$S:$S,$B61),0)+S61,SUMIFS(N:N,$D:$D,$E61))</f>
        <v>0</v>
      </c>
      <c r="O61" s="373">
        <f>IF($E61="calc",ROUND($A61*SUMIFS(DATA!$Y:$Y,DATA!$C:$C,INDEX!$D$11,DATA!$X:$X,O$4,DATA!$N:$N,$C61,DATA!$S:$S,$B61),0),SUMIFS(O:O,$D:$D,$E61))</f>
        <v>0</v>
      </c>
      <c r="P61" s="373">
        <f t="shared" si="0"/>
        <v>0</v>
      </c>
      <c r="Q61" s="374">
        <f>IF($E61="calc",ROUND($A61*SUMIFS(DATA!$Y:$Y,DATA!$C:$C,INDEX!$E$11,DATA!$N:$N,$C61,DATA!$S:$S,$B61),0)+T61,SUMIFS(Q:Q,$D:$D,$E61))</f>
        <v>0</v>
      </c>
      <c r="S61" s="743"/>
      <c r="T61" s="744"/>
    </row>
    <row r="62" spans="1:20" s="375" customFormat="1" ht="21" x14ac:dyDescent="0.3">
      <c r="A62" s="428">
        <v>1</v>
      </c>
      <c r="B62" s="652">
        <v>55</v>
      </c>
      <c r="C62" s="429" t="s">
        <v>516</v>
      </c>
      <c r="D62" s="434" t="s">
        <v>1032</v>
      </c>
      <c r="E62" s="434" t="s">
        <v>1006</v>
      </c>
      <c r="F62" s="372"/>
      <c r="G62" s="529"/>
      <c r="H62" s="524"/>
      <c r="I62" s="525"/>
      <c r="J62" s="525"/>
      <c r="K62" s="526" t="s">
        <v>244</v>
      </c>
      <c r="L62" s="527" t="str">
        <f>VLOOKUP(B62,'radky_R'!A:O,15,0)</f>
        <v>Dohadné účty aktivní</v>
      </c>
      <c r="M62" s="528">
        <f>IF($M$4="f",B62,IF($M$4="z",IF(OR(N62&lt;&gt;0,O62&lt;&gt;0,P62&lt;&gt;0,Q62&lt;&gt;0),B62,"-"),IF($M$4="m",IF(OR(N62&lt;&gt;0,O62&lt;&gt;0,P62&lt;&gt;0,Q62&lt;&gt;0),MAX(M$8:M61)+1,"-"))))</f>
        <v>55</v>
      </c>
      <c r="N62" s="373">
        <f>IF($E62="calc",ROUND($A62*SUMIFS(DATA!$Y:$Y,DATA!$C:$C,INDEX!$D$11,DATA!$X:$X,N$4,DATA!$N:$N,$C62,DATA!$S:$S,$B62),0)+S62,SUMIFS(N:N,$D:$D,$E62))</f>
        <v>0</v>
      </c>
      <c r="O62" s="373">
        <f>IF($E62="calc",ROUND($A62*SUMIFS(DATA!$Y:$Y,DATA!$C:$C,INDEX!$D$11,DATA!$X:$X,O$4,DATA!$N:$N,$C62,DATA!$S:$S,$B62),0),SUMIFS(O:O,$D:$D,$E62))</f>
        <v>0</v>
      </c>
      <c r="P62" s="373">
        <f t="shared" si="0"/>
        <v>0</v>
      </c>
      <c r="Q62" s="374">
        <f>IF($E62="calc",ROUND($A62*SUMIFS(DATA!$Y:$Y,DATA!$C:$C,INDEX!$E$11,DATA!$N:$N,$C62,DATA!$S:$S,$B62),0)+T62,SUMIFS(Q:Q,$D:$D,$E62))</f>
        <v>0</v>
      </c>
      <c r="S62" s="743"/>
      <c r="T62" s="744"/>
    </row>
    <row r="63" spans="1:20" s="375" customFormat="1" ht="21" x14ac:dyDescent="0.3">
      <c r="A63" s="428">
        <v>1</v>
      </c>
      <c r="B63" s="652">
        <v>56</v>
      </c>
      <c r="C63" s="429" t="s">
        <v>516</v>
      </c>
      <c r="D63" s="434" t="s">
        <v>1032</v>
      </c>
      <c r="E63" s="434" t="s">
        <v>1006</v>
      </c>
      <c r="F63" s="372"/>
      <c r="G63" s="529"/>
      <c r="H63" s="524"/>
      <c r="I63" s="525"/>
      <c r="J63" s="525"/>
      <c r="K63" s="526" t="s">
        <v>245</v>
      </c>
      <c r="L63" s="530" t="str">
        <f>VLOOKUP(B63,'radky_R'!A:O,15,0)</f>
        <v>Jiné pohledávky</v>
      </c>
      <c r="M63" s="531">
        <f>IF($M$4="f",B63,IF($M$4="z",IF(OR(N63&lt;&gt;0,O63&lt;&gt;0,P63&lt;&gt;0,Q63&lt;&gt;0),B63,"-"),IF($M$4="m",IF(OR(N63&lt;&gt;0,O63&lt;&gt;0,P63&lt;&gt;0,Q63&lt;&gt;0),MAX(M$8:M62)+1,"-"))))</f>
        <v>56</v>
      </c>
      <c r="N63" s="376">
        <f>IF($E63="calc",ROUND($A63*SUMIFS(DATA!$Y:$Y,DATA!$C:$C,INDEX!$D$11,DATA!$X:$X,N$4,DATA!$N:$N,$C63,DATA!$S:$S,$B63),0)+S63,SUMIFS(N:N,$D:$D,$E63))</f>
        <v>0</v>
      </c>
      <c r="O63" s="376">
        <f>IF($E63="calc",ROUND($A63*SUMIFS(DATA!$Y:$Y,DATA!$C:$C,INDEX!$D$11,DATA!$X:$X,O$4,DATA!$N:$N,$C63,DATA!$S:$S,$B63),0),SUMIFS(O:O,$D:$D,$E63))</f>
        <v>0</v>
      </c>
      <c r="P63" s="376">
        <f t="shared" si="0"/>
        <v>0</v>
      </c>
      <c r="Q63" s="377">
        <f>IF($E63="calc",ROUND($A63*SUMIFS(DATA!$Y:$Y,DATA!$C:$C,INDEX!$E$11,DATA!$N:$N,$C63,DATA!$S:$S,$B63),0)+T63,SUMIFS(Q:Q,$D:$D,$E63))</f>
        <v>0</v>
      </c>
      <c r="S63" s="739"/>
      <c r="T63" s="740"/>
    </row>
    <row r="64" spans="1:20" x14ac:dyDescent="0.3">
      <c r="A64" s="428">
        <v>1</v>
      </c>
      <c r="B64" s="651">
        <v>57</v>
      </c>
      <c r="C64" s="429" t="s">
        <v>516</v>
      </c>
      <c r="D64" s="428" t="s">
        <v>1030</v>
      </c>
      <c r="E64" s="428" t="s">
        <v>1042</v>
      </c>
      <c r="F64" s="27"/>
      <c r="G64" s="479" t="s">
        <v>265</v>
      </c>
      <c r="H64" s="484" t="s">
        <v>251</v>
      </c>
      <c r="I64" s="480" t="s">
        <v>243</v>
      </c>
      <c r="J64" s="480"/>
      <c r="K64" s="481"/>
      <c r="L64" s="485" t="str">
        <f>VLOOKUP(B64,'radky_R'!A:O,15,0)</f>
        <v>Krátkodobé pohledávky</v>
      </c>
      <c r="M64" s="516">
        <f>IF($M$4="f",B64,IF($M$4="z",IF(OR(N64&lt;&gt;0,O64&lt;&gt;0,P64&lt;&gt;0,Q64&lt;&gt;0),B64,"-"),IF($M$4="m",IF(OR(N64&lt;&gt;0,O64&lt;&gt;0,P64&lt;&gt;0,Q64&lt;&gt;0),MAX(M$8:M63)+1,"-"))))</f>
        <v>57</v>
      </c>
      <c r="N64" s="364">
        <f>IF($E64="calc",ROUND($A64*SUMIFS(DATA!$Y:$Y,DATA!$C:$C,INDEX!$D$11,DATA!$X:$X,N$4,DATA!$N:$N,$C64,DATA!$S:$S,$B64),0)+S64,SUMIFS(N:N,$D:$D,$E64))</f>
        <v>0</v>
      </c>
      <c r="O64" s="364">
        <f>IF($E64="calc",ROUND($A64*SUMIFS(DATA!$Y:$Y,DATA!$C:$C,INDEX!$D$11,DATA!$X:$X,O$4,DATA!$N:$N,$C64,DATA!$S:$S,$B64),0),SUMIFS(O:O,$D:$D,$E64))</f>
        <v>0</v>
      </c>
      <c r="P64" s="364">
        <f t="shared" si="0"/>
        <v>0</v>
      </c>
      <c r="Q64" s="365">
        <f>IF($E64="calc",ROUND($A64*SUMIFS(DATA!$Y:$Y,DATA!$C:$C,INDEX!$E$11,DATA!$N:$N,$C64,DATA!$S:$S,$B64),0)+T64,SUMIFS(Q:Q,$D:$D,$E64))</f>
        <v>0</v>
      </c>
      <c r="R64" s="11"/>
      <c r="S64" s="761"/>
      <c r="T64" s="761"/>
    </row>
    <row r="65" spans="1:20" s="367" customFormat="1" x14ac:dyDescent="0.3">
      <c r="A65" s="428">
        <v>1</v>
      </c>
      <c r="B65" s="652">
        <v>58</v>
      </c>
      <c r="C65" s="429" t="s">
        <v>516</v>
      </c>
      <c r="D65" s="428" t="s">
        <v>1042</v>
      </c>
      <c r="E65" s="434" t="s">
        <v>1006</v>
      </c>
      <c r="F65" s="366"/>
      <c r="G65" s="487"/>
      <c r="H65" s="488"/>
      <c r="I65" s="489"/>
      <c r="J65" s="490" t="s">
        <v>242</v>
      </c>
      <c r="K65" s="491"/>
      <c r="L65" s="492" t="str">
        <f>VLOOKUP(B65,'radky_R'!A:O,15,0)</f>
        <v>Pohledávky z obchodních vztahů</v>
      </c>
      <c r="M65" s="517">
        <f>IF($M$4="f",B65,IF($M$4="z",IF(OR(N65&lt;&gt;0,O65&lt;&gt;0,P65&lt;&gt;0,Q65&lt;&gt;0),B65,"-"),IF($M$4="m",IF(OR(N65&lt;&gt;0,O65&lt;&gt;0,P65&lt;&gt;0,Q65&lt;&gt;0),MAX(M$8:M64)+1,"-"))))</f>
        <v>58</v>
      </c>
      <c r="N65" s="368">
        <f>IF($E65="calc",ROUND($A65*SUMIFS(DATA!$Y:$Y,DATA!$C:$C,INDEX!$D$11,DATA!$X:$X,N$4,DATA!$N:$N,$C65,DATA!$S:$S,$B65),0)+S65,SUMIFS(N:N,$D:$D,$E65))</f>
        <v>0</v>
      </c>
      <c r="O65" s="368">
        <f>IF($E65="calc",ROUND($A65*SUMIFS(DATA!$Y:$Y,DATA!$C:$C,INDEX!$D$11,DATA!$X:$X,O$4,DATA!$N:$N,$C65,DATA!$S:$S,$B65),0),SUMIFS(O:O,$D:$D,$E65))</f>
        <v>0</v>
      </c>
      <c r="P65" s="368">
        <f t="shared" si="0"/>
        <v>0</v>
      </c>
      <c r="Q65" s="369">
        <f>IF($E65="calc",ROUND($A65*SUMIFS(DATA!$Y:$Y,DATA!$C:$C,INDEX!$E$11,DATA!$N:$N,$C65,DATA!$S:$S,$B65),0)+T65,SUMIFS(Q:Q,$D:$D,$E65))</f>
        <v>0</v>
      </c>
      <c r="S65" s="741"/>
      <c r="T65" s="742"/>
    </row>
    <row r="66" spans="1:20" s="367" customFormat="1" x14ac:dyDescent="0.3">
      <c r="A66" s="428">
        <v>1</v>
      </c>
      <c r="B66" s="652">
        <v>59</v>
      </c>
      <c r="C66" s="429" t="s">
        <v>516</v>
      </c>
      <c r="D66" s="428" t="s">
        <v>1042</v>
      </c>
      <c r="E66" s="434" t="s">
        <v>1006</v>
      </c>
      <c r="F66" s="366"/>
      <c r="G66" s="487"/>
      <c r="H66" s="488"/>
      <c r="I66" s="489"/>
      <c r="J66" s="490" t="s">
        <v>243</v>
      </c>
      <c r="K66" s="491"/>
      <c r="L66" s="492" t="str">
        <f>VLOOKUP(B66,'radky_R'!A:O,15,0)</f>
        <v>Pohledávky - ovládaná nebo ovládající osoba</v>
      </c>
      <c r="M66" s="517">
        <f>IF($M$4="f",B66,IF($M$4="z",IF(OR(N66&lt;&gt;0,O66&lt;&gt;0,P66&lt;&gt;0,Q66&lt;&gt;0),B66,"-"),IF($M$4="m",IF(OR(N66&lt;&gt;0,O66&lt;&gt;0,P66&lt;&gt;0,Q66&lt;&gt;0),MAX(M$8:M65)+1,"-"))))</f>
        <v>59</v>
      </c>
      <c r="N66" s="368">
        <f>IF($E66="calc",ROUND($A66*SUMIFS(DATA!$Y:$Y,DATA!$C:$C,INDEX!$D$11,DATA!$X:$X,N$4,DATA!$N:$N,$C66,DATA!$S:$S,$B66),0)+S66,SUMIFS(N:N,$D:$D,$E66))</f>
        <v>0</v>
      </c>
      <c r="O66" s="368">
        <f>IF($E66="calc",ROUND($A66*SUMIFS(DATA!$Y:$Y,DATA!$C:$C,INDEX!$D$11,DATA!$X:$X,O$4,DATA!$N:$N,$C66,DATA!$S:$S,$B66),0),SUMIFS(O:O,$D:$D,$E66))</f>
        <v>0</v>
      </c>
      <c r="P66" s="368">
        <f t="shared" si="0"/>
        <v>0</v>
      </c>
      <c r="Q66" s="369">
        <f>IF($E66="calc",ROUND($A66*SUMIFS(DATA!$Y:$Y,DATA!$C:$C,INDEX!$E$11,DATA!$N:$N,$C66,DATA!$S:$S,$B66),0)+T66,SUMIFS(Q:Q,$D:$D,$E66))</f>
        <v>0</v>
      </c>
      <c r="S66" s="743"/>
      <c r="T66" s="744"/>
    </row>
    <row r="67" spans="1:20" s="367" customFormat="1" x14ac:dyDescent="0.3">
      <c r="A67" s="428">
        <v>1</v>
      </c>
      <c r="B67" s="652">
        <v>60</v>
      </c>
      <c r="C67" s="429" t="s">
        <v>516</v>
      </c>
      <c r="D67" s="428" t="s">
        <v>1042</v>
      </c>
      <c r="E67" s="434" t="s">
        <v>1006</v>
      </c>
      <c r="F67" s="366"/>
      <c r="G67" s="487"/>
      <c r="H67" s="488"/>
      <c r="I67" s="489"/>
      <c r="J67" s="490" t="s">
        <v>244</v>
      </c>
      <c r="K67" s="491"/>
      <c r="L67" s="492" t="str">
        <f>VLOOKUP(B67,'radky_R'!A:O,15,0)</f>
        <v>Pohledávky - podstatný vliv</v>
      </c>
      <c r="M67" s="517">
        <f>IF($M$4="f",B67,IF($M$4="z",IF(OR(N67&lt;&gt;0,O67&lt;&gt;0,P67&lt;&gt;0,Q67&lt;&gt;0),B67,"-"),IF($M$4="m",IF(OR(N67&lt;&gt;0,O67&lt;&gt;0,P67&lt;&gt;0,Q67&lt;&gt;0),MAX(M$8:M66)+1,"-"))))</f>
        <v>60</v>
      </c>
      <c r="N67" s="368">
        <f>IF($E67="calc",ROUND($A67*SUMIFS(DATA!$Y:$Y,DATA!$C:$C,INDEX!$D$11,DATA!$X:$X,N$4,DATA!$N:$N,$C67,DATA!$S:$S,$B67),0)+S67,SUMIFS(N:N,$D:$D,$E67))</f>
        <v>0</v>
      </c>
      <c r="O67" s="368">
        <f>IF($E67="calc",ROUND($A67*SUMIFS(DATA!$Y:$Y,DATA!$C:$C,INDEX!$D$11,DATA!$X:$X,O$4,DATA!$N:$N,$C67,DATA!$S:$S,$B67),0),SUMIFS(O:O,$D:$D,$E67))</f>
        <v>0</v>
      </c>
      <c r="P67" s="368">
        <f t="shared" si="0"/>
        <v>0</v>
      </c>
      <c r="Q67" s="369">
        <f>IF($E67="calc",ROUND($A67*SUMIFS(DATA!$Y:$Y,DATA!$C:$C,INDEX!$E$11,DATA!$N:$N,$C67,DATA!$S:$S,$B67),0)+T67,SUMIFS(Q:Q,$D:$D,$E67))</f>
        <v>0</v>
      </c>
      <c r="S67" s="739"/>
      <c r="T67" s="740"/>
    </row>
    <row r="68" spans="1:20" s="367" customFormat="1" x14ac:dyDescent="0.3">
      <c r="A68" s="428">
        <v>1</v>
      </c>
      <c r="B68" s="652">
        <v>61</v>
      </c>
      <c r="C68" s="429" t="s">
        <v>516</v>
      </c>
      <c r="D68" s="428" t="s">
        <v>1042</v>
      </c>
      <c r="E68" s="434" t="s">
        <v>1043</v>
      </c>
      <c r="F68" s="366"/>
      <c r="G68" s="487"/>
      <c r="H68" s="488"/>
      <c r="I68" s="489"/>
      <c r="J68" s="490" t="s">
        <v>245</v>
      </c>
      <c r="K68" s="491"/>
      <c r="L68" s="492" t="str">
        <f>VLOOKUP(B68,'radky_R'!A:O,15,0)</f>
        <v>Pohledávky - ostatní</v>
      </c>
      <c r="M68" s="517">
        <f>IF($M$4="f",B68,IF($M$4="z",IF(OR(N68&lt;&gt;0,O68&lt;&gt;0,P68&lt;&gt;0,Q68&lt;&gt;0),B68,"-"),IF($M$4="m",IF(OR(N68&lt;&gt;0,O68&lt;&gt;0,P68&lt;&gt;0,Q68&lt;&gt;0),MAX(M$8:M67)+1,"-"))))</f>
        <v>61</v>
      </c>
      <c r="N68" s="368">
        <f>IF($E68="calc",ROUND($A68*SUMIFS(DATA!$Y:$Y,DATA!$C:$C,INDEX!$D$11,DATA!$X:$X,N$4,DATA!$N:$N,$C68,DATA!$S:$S,$B68),0)+S68,SUMIFS(N:N,$D:$D,$E68))</f>
        <v>0</v>
      </c>
      <c r="O68" s="368">
        <f>IF($E68="calc",ROUND($A68*SUMIFS(DATA!$Y:$Y,DATA!$C:$C,INDEX!$D$11,DATA!$X:$X,O$4,DATA!$N:$N,$C68,DATA!$S:$S,$B68),0),SUMIFS(O:O,$D:$D,$E68))</f>
        <v>0</v>
      </c>
      <c r="P68" s="368">
        <f t="shared" si="0"/>
        <v>0</v>
      </c>
      <c r="Q68" s="369">
        <f>IF($E68="calc",ROUND($A68*SUMIFS(DATA!$Y:$Y,DATA!$C:$C,INDEX!$E$11,DATA!$N:$N,$C68,DATA!$S:$S,$B68),0)+T68,SUMIFS(Q:Q,$D:$D,$E68))</f>
        <v>0</v>
      </c>
      <c r="S68" s="761"/>
      <c r="T68" s="761"/>
    </row>
    <row r="69" spans="1:20" s="375" customFormat="1" ht="21" x14ac:dyDescent="0.3">
      <c r="A69" s="428">
        <v>1</v>
      </c>
      <c r="B69" s="652">
        <v>62</v>
      </c>
      <c r="C69" s="429" t="s">
        <v>516</v>
      </c>
      <c r="D69" s="434" t="s">
        <v>1043</v>
      </c>
      <c r="E69" s="434" t="s">
        <v>1006</v>
      </c>
      <c r="F69" s="372"/>
      <c r="G69" s="487"/>
      <c r="H69" s="532"/>
      <c r="I69" s="489"/>
      <c r="J69" s="525"/>
      <c r="K69" s="526" t="s">
        <v>242</v>
      </c>
      <c r="L69" s="527" t="str">
        <f>VLOOKUP(B69,'radky_R'!A:O,15,0)</f>
        <v>Pohledávky za společníky</v>
      </c>
      <c r="M69" s="528">
        <f>IF($M$4="f",B69,IF($M$4="z",IF(OR(N69&lt;&gt;0,O69&lt;&gt;0,P69&lt;&gt;0,Q69&lt;&gt;0),B69,"-"),IF($M$4="m",IF(OR(N69&lt;&gt;0,O69&lt;&gt;0,P69&lt;&gt;0,Q69&lt;&gt;0),MAX(M$8:M68)+1,"-"))))</f>
        <v>62</v>
      </c>
      <c r="N69" s="417">
        <f>IF($E69="calc",ROUND($A69*SUMIFS(DATA!$Y:$Y,DATA!$C:$C,INDEX!$D$11,DATA!$X:$X,N$4,DATA!$N:$N,$C69,DATA!$S:$S,$B69),0)+S69,SUMIFS(N:N,$D:$D,$E69))</f>
        <v>0</v>
      </c>
      <c r="O69" s="417">
        <f>IF($E69="calc",ROUND($A69*SUMIFS(DATA!$Y:$Y,DATA!$C:$C,INDEX!$D$11,DATA!$X:$X,O$4,DATA!$N:$N,$C69,DATA!$S:$S,$B69),0),SUMIFS(O:O,$D:$D,$E69))</f>
        <v>0</v>
      </c>
      <c r="P69" s="417">
        <f t="shared" si="0"/>
        <v>0</v>
      </c>
      <c r="Q69" s="418">
        <f>IF($E69="calc",ROUND($A69*SUMIFS(DATA!$Y:$Y,DATA!$C:$C,INDEX!$E$11,DATA!$N:$N,$C69,DATA!$S:$S,$B69),0)+T69,SUMIFS(Q:Q,$D:$D,$E69))</f>
        <v>0</v>
      </c>
      <c r="S69" s="741"/>
      <c r="T69" s="742"/>
    </row>
    <row r="70" spans="1:20" s="375" customFormat="1" ht="21" x14ac:dyDescent="0.3">
      <c r="A70" s="428">
        <v>1</v>
      </c>
      <c r="B70" s="652">
        <v>63</v>
      </c>
      <c r="C70" s="429" t="s">
        <v>516</v>
      </c>
      <c r="D70" s="434" t="s">
        <v>1043</v>
      </c>
      <c r="E70" s="434" t="s">
        <v>1006</v>
      </c>
      <c r="F70" s="372"/>
      <c r="G70" s="487"/>
      <c r="H70" s="532"/>
      <c r="I70" s="489"/>
      <c r="J70" s="525"/>
      <c r="K70" s="526" t="s">
        <v>243</v>
      </c>
      <c r="L70" s="527" t="str">
        <f>VLOOKUP(B70,'radky_R'!A:O,15,0)</f>
        <v>Sociální zabezpečení a zdravotní pojištění</v>
      </c>
      <c r="M70" s="528">
        <f>IF($M$4="f",B70,IF($M$4="z",IF(OR(N70&lt;&gt;0,O70&lt;&gt;0,P70&lt;&gt;0,Q70&lt;&gt;0),B70,"-"),IF($M$4="m",IF(OR(N70&lt;&gt;0,O70&lt;&gt;0,P70&lt;&gt;0,Q70&lt;&gt;0),MAX(M$8:M69)+1,"-"))))</f>
        <v>63</v>
      </c>
      <c r="N70" s="417">
        <f>IF($E70="calc",ROUND($A70*SUMIFS(DATA!$Y:$Y,DATA!$C:$C,INDEX!$D$11,DATA!$X:$X,N$4,DATA!$N:$N,$C70,DATA!$S:$S,$B70),0)+S70,SUMIFS(N:N,$D:$D,$E70))</f>
        <v>0</v>
      </c>
      <c r="O70" s="417">
        <f>IF($E70="calc",ROUND($A70*SUMIFS(DATA!$Y:$Y,DATA!$C:$C,INDEX!$D$11,DATA!$X:$X,O$4,DATA!$N:$N,$C70,DATA!$S:$S,$B70),0),SUMIFS(O:O,$D:$D,$E70))</f>
        <v>0</v>
      </c>
      <c r="P70" s="417">
        <f t="shared" si="0"/>
        <v>0</v>
      </c>
      <c r="Q70" s="418">
        <f>IF($E70="calc",ROUND($A70*SUMIFS(DATA!$Y:$Y,DATA!$C:$C,INDEX!$E$11,DATA!$N:$N,$C70,DATA!$S:$S,$B70),0)+T70,SUMIFS(Q:Q,$D:$D,$E70))</f>
        <v>0</v>
      </c>
      <c r="S70" s="743"/>
      <c r="T70" s="744"/>
    </row>
    <row r="71" spans="1:20" s="375" customFormat="1" ht="21" x14ac:dyDescent="0.3">
      <c r="A71" s="428">
        <v>1</v>
      </c>
      <c r="B71" s="652">
        <v>64</v>
      </c>
      <c r="C71" s="429" t="s">
        <v>516</v>
      </c>
      <c r="D71" s="434" t="s">
        <v>1043</v>
      </c>
      <c r="E71" s="434" t="s">
        <v>1006</v>
      </c>
      <c r="F71" s="372"/>
      <c r="G71" s="487"/>
      <c r="H71" s="532"/>
      <c r="I71" s="489"/>
      <c r="J71" s="525"/>
      <c r="K71" s="526" t="s">
        <v>244</v>
      </c>
      <c r="L71" s="527" t="str">
        <f>VLOOKUP(B71,'radky_R'!A:O,15,0)</f>
        <v>Stát - daňové pohledávky</v>
      </c>
      <c r="M71" s="528">
        <f>IF($M$4="f",B71,IF($M$4="z",IF(OR(N71&lt;&gt;0,O71&lt;&gt;0,P71&lt;&gt;0,Q71&lt;&gt;0),B71,"-"),IF($M$4="m",IF(OR(N71&lt;&gt;0,O71&lt;&gt;0,P71&lt;&gt;0,Q71&lt;&gt;0),MAX(M$8:M70)+1,"-"))))</f>
        <v>64</v>
      </c>
      <c r="N71" s="417">
        <f>IF($E71="calc",ROUND($A71*SUMIFS(DATA!$Y:$Y,DATA!$C:$C,INDEX!$D$11,DATA!$X:$X,N$4,DATA!$N:$N,$C71,DATA!$S:$S,$B71),0)+S71,SUMIFS(N:N,$D:$D,$E71))</f>
        <v>0</v>
      </c>
      <c r="O71" s="417">
        <f>IF($E71="calc",ROUND($A71*SUMIFS(DATA!$Y:$Y,DATA!$C:$C,INDEX!$D$11,DATA!$X:$X,O$4,DATA!$N:$N,$C71,DATA!$S:$S,$B71),0),SUMIFS(O:O,$D:$D,$E71))</f>
        <v>0</v>
      </c>
      <c r="P71" s="417">
        <f t="shared" si="0"/>
        <v>0</v>
      </c>
      <c r="Q71" s="418">
        <f>IF($E71="calc",ROUND($A71*SUMIFS(DATA!$Y:$Y,DATA!$C:$C,INDEX!$E$11,DATA!$N:$N,$C71,DATA!$S:$S,$B71),0)+T71,SUMIFS(Q:Q,$D:$D,$E71))</f>
        <v>0</v>
      </c>
      <c r="S71" s="743"/>
      <c r="T71" s="744"/>
    </row>
    <row r="72" spans="1:20" s="375" customFormat="1" ht="21" x14ac:dyDescent="0.3">
      <c r="A72" s="428">
        <v>1</v>
      </c>
      <c r="B72" s="652">
        <v>65</v>
      </c>
      <c r="C72" s="429" t="s">
        <v>516</v>
      </c>
      <c r="D72" s="434" t="s">
        <v>1043</v>
      </c>
      <c r="E72" s="434" t="s">
        <v>1006</v>
      </c>
      <c r="F72" s="372"/>
      <c r="G72" s="487"/>
      <c r="H72" s="532"/>
      <c r="I72" s="489"/>
      <c r="J72" s="525"/>
      <c r="K72" s="526" t="s">
        <v>245</v>
      </c>
      <c r="L72" s="527" t="str">
        <f>VLOOKUP(B72,'radky_R'!A:O,15,0)</f>
        <v>Krátkodobé poskytnuté zálohy</v>
      </c>
      <c r="M72" s="528">
        <f>IF($M$4="f",B72,IF($M$4="z",IF(OR(N72&lt;&gt;0,O72&lt;&gt;0,P72&lt;&gt;0,Q72&lt;&gt;0),B72,"-"),IF($M$4="m",IF(OR(N72&lt;&gt;0,O72&lt;&gt;0,P72&lt;&gt;0,Q72&lt;&gt;0),MAX(M$8:M71)+1,"-"))))</f>
        <v>65</v>
      </c>
      <c r="N72" s="417">
        <f>IF($E72="calc",ROUND($A72*SUMIFS(DATA!$Y:$Y,DATA!$C:$C,INDEX!$D$11,DATA!$X:$X,N$4,DATA!$N:$N,$C72,DATA!$S:$S,$B72),0)+S72,SUMIFS(N:N,$D:$D,$E72))</f>
        <v>0</v>
      </c>
      <c r="O72" s="417">
        <f>IF($E72="calc",ROUND($A72*SUMIFS(DATA!$Y:$Y,DATA!$C:$C,INDEX!$D$11,DATA!$X:$X,O$4,DATA!$N:$N,$C72,DATA!$S:$S,$B72),0),SUMIFS(O:O,$D:$D,$E72))</f>
        <v>0</v>
      </c>
      <c r="P72" s="417">
        <f t="shared" ref="P72:P84" si="1">N72+O72</f>
        <v>0</v>
      </c>
      <c r="Q72" s="418">
        <f>IF($E72="calc",ROUND($A72*SUMIFS(DATA!$Y:$Y,DATA!$C:$C,INDEX!$E$11,DATA!$N:$N,$C72,DATA!$S:$S,$B72),0)+T72,SUMIFS(Q:Q,$D:$D,$E72))</f>
        <v>0</v>
      </c>
      <c r="S72" s="743"/>
      <c r="T72" s="744"/>
    </row>
    <row r="73" spans="1:20" s="375" customFormat="1" ht="21" x14ac:dyDescent="0.3">
      <c r="A73" s="428">
        <v>1</v>
      </c>
      <c r="B73" s="652">
        <v>66</v>
      </c>
      <c r="C73" s="429" t="s">
        <v>516</v>
      </c>
      <c r="D73" s="434" t="s">
        <v>1043</v>
      </c>
      <c r="E73" s="434" t="s">
        <v>1006</v>
      </c>
      <c r="F73" s="372"/>
      <c r="G73" s="487"/>
      <c r="H73" s="532"/>
      <c r="I73" s="489"/>
      <c r="J73" s="525"/>
      <c r="K73" s="526" t="s">
        <v>246</v>
      </c>
      <c r="L73" s="527" t="str">
        <f>VLOOKUP(B73,'radky_R'!A:O,15,0)</f>
        <v>Dohadné účty aktivní</v>
      </c>
      <c r="M73" s="528">
        <f>IF($M$4="f",B73,IF($M$4="z",IF(OR(N73&lt;&gt;0,O73&lt;&gt;0,P73&lt;&gt;0,Q73&lt;&gt;0),B73,"-"),IF($M$4="m",IF(OR(N73&lt;&gt;0,O73&lt;&gt;0,P73&lt;&gt;0,Q73&lt;&gt;0),MAX(M$8:M72)+1,"-"))))</f>
        <v>66</v>
      </c>
      <c r="N73" s="417">
        <f>IF($E73="calc",ROUND($A73*SUMIFS(DATA!$Y:$Y,DATA!$C:$C,INDEX!$D$11,DATA!$X:$X,N$4,DATA!$N:$N,$C73,DATA!$S:$S,$B73),0)+S73,SUMIFS(N:N,$D:$D,$E73))</f>
        <v>0</v>
      </c>
      <c r="O73" s="417">
        <f>IF($E73="calc",ROUND($A73*SUMIFS(DATA!$Y:$Y,DATA!$C:$C,INDEX!$D$11,DATA!$X:$X,O$4,DATA!$N:$N,$C73,DATA!$S:$S,$B73),0),SUMIFS(O:O,$D:$D,$E73))</f>
        <v>0</v>
      </c>
      <c r="P73" s="417">
        <f t="shared" si="1"/>
        <v>0</v>
      </c>
      <c r="Q73" s="418">
        <f>IF($E73="calc",ROUND($A73*SUMIFS(DATA!$Y:$Y,DATA!$C:$C,INDEX!$E$11,DATA!$N:$N,$C73,DATA!$S:$S,$B73),0)+T73,SUMIFS(Q:Q,$D:$D,$E73))</f>
        <v>0</v>
      </c>
      <c r="S73" s="743"/>
      <c r="T73" s="744"/>
    </row>
    <row r="74" spans="1:20" s="375" customFormat="1" ht="21" x14ac:dyDescent="0.3">
      <c r="A74" s="428">
        <v>1</v>
      </c>
      <c r="B74" s="652">
        <v>67</v>
      </c>
      <c r="C74" s="429" t="s">
        <v>516</v>
      </c>
      <c r="D74" s="434" t="s">
        <v>1043</v>
      </c>
      <c r="E74" s="434" t="s">
        <v>1006</v>
      </c>
      <c r="F74" s="372"/>
      <c r="G74" s="487"/>
      <c r="H74" s="532"/>
      <c r="I74" s="489"/>
      <c r="J74" s="525"/>
      <c r="K74" s="525" t="s">
        <v>247</v>
      </c>
      <c r="L74" s="527" t="str">
        <f>VLOOKUP(B74,'radky_R'!A:O,15,0)</f>
        <v>Jiné pohledávky</v>
      </c>
      <c r="M74" s="528">
        <f>IF($M$4="f",B74,IF($M$4="z",IF(OR(N74&lt;&gt;0,O74&lt;&gt;0,P74&lt;&gt;0,Q74&lt;&gt;0),B74,"-"),IF($M$4="m",IF(OR(N74&lt;&gt;0,O74&lt;&gt;0,P74&lt;&gt;0,Q74&lt;&gt;0),MAX(M$8:M73)+1,"-"))))</f>
        <v>67</v>
      </c>
      <c r="N74" s="417">
        <f>IF($E74="calc",ROUND($A74*SUMIFS(DATA!$Y:$Y,DATA!$C:$C,INDEX!$D$11,DATA!$X:$X,N$4,DATA!$N:$N,$C74,DATA!$S:$S,$B74),0)+S74,SUMIFS(N:N,$D:$D,$E74))</f>
        <v>0</v>
      </c>
      <c r="O74" s="417">
        <f>IF($E74="calc",ROUND($A74*SUMIFS(DATA!$Y:$Y,DATA!$C:$C,INDEX!$D$11,DATA!$X:$X,O$4,DATA!$N:$N,$C74,DATA!$S:$S,$B74),0),SUMIFS(O:O,$D:$D,$E74))</f>
        <v>0</v>
      </c>
      <c r="P74" s="417">
        <f t="shared" si="1"/>
        <v>0</v>
      </c>
      <c r="Q74" s="418">
        <f>IF($E74="calc",ROUND($A74*SUMIFS(DATA!$Y:$Y,DATA!$C:$C,INDEX!$E$11,DATA!$N:$N,$C74,DATA!$S:$S,$B74),0)+T74,SUMIFS(Q:Q,$D:$D,$E74))</f>
        <v>0</v>
      </c>
      <c r="S74" s="739"/>
      <c r="T74" s="740"/>
    </row>
    <row r="75" spans="1:20" x14ac:dyDescent="0.3">
      <c r="A75" s="428">
        <v>1</v>
      </c>
      <c r="B75" s="651">
        <v>68</v>
      </c>
      <c r="C75" s="429" t="s">
        <v>516</v>
      </c>
      <c r="D75" s="428" t="s">
        <v>265</v>
      </c>
      <c r="E75" s="428" t="s">
        <v>1044</v>
      </c>
      <c r="F75" s="27"/>
      <c r="G75" s="474" t="s">
        <v>265</v>
      </c>
      <c r="H75" s="475" t="s">
        <v>256</v>
      </c>
      <c r="I75" s="476"/>
      <c r="J75" s="476"/>
      <c r="K75" s="476"/>
      <c r="L75" s="477" t="str">
        <f>VLOOKUP(B75,'radky_R'!A:O,15,0)</f>
        <v>Krátkodobý finanční majetek      (ř. 69 až 70)</v>
      </c>
      <c r="M75" s="478">
        <f>IF($M$4="f",B75,IF($M$4="z",IF(OR(N75&lt;&gt;0,O75&lt;&gt;0,P75&lt;&gt;0,Q75&lt;&gt;0),B75,"-"),IF($M$4="m",IF(OR(N75&lt;&gt;0,O75&lt;&gt;0,P75&lt;&gt;0,Q75&lt;&gt;0),MAX(M$8:M74)+1,"-"))))</f>
        <v>68</v>
      </c>
      <c r="N75" s="118">
        <f>IF($E75="calc",ROUND($A75*SUMIFS(DATA!$Y:$Y,DATA!$C:$C,INDEX!$D$11,DATA!$X:$X,N$4,DATA!$N:$N,$C75,DATA!$S:$S,$B75),0)+S75,SUMIFS(N:N,$D:$D,$E75))</f>
        <v>0</v>
      </c>
      <c r="O75" s="118">
        <f>IF($E75="calc",ROUND($A75*SUMIFS(DATA!$Y:$Y,DATA!$C:$C,INDEX!$D$11,DATA!$X:$X,O$4,DATA!$N:$N,$C75,DATA!$S:$S,$B75),0),SUMIFS(O:O,$D:$D,$E75))</f>
        <v>0</v>
      </c>
      <c r="P75" s="118">
        <f t="shared" si="1"/>
        <v>0</v>
      </c>
      <c r="Q75" s="119">
        <f>IF($E75="calc",ROUND($A75*SUMIFS(DATA!$Y:$Y,DATA!$C:$C,INDEX!$E$11,DATA!$N:$N,$C75,DATA!$S:$S,$B75),0)+T75,SUMIFS(Q:Q,$D:$D,$E75))</f>
        <v>0</v>
      </c>
      <c r="R75" s="11"/>
      <c r="S75" s="761"/>
      <c r="T75" s="761"/>
    </row>
    <row r="76" spans="1:20" x14ac:dyDescent="0.3">
      <c r="A76" s="428">
        <v>1</v>
      </c>
      <c r="B76" s="651">
        <v>69</v>
      </c>
      <c r="C76" s="429" t="s">
        <v>516</v>
      </c>
      <c r="D76" s="428" t="s">
        <v>1044</v>
      </c>
      <c r="E76" s="428" t="s">
        <v>1006</v>
      </c>
      <c r="F76" s="27"/>
      <c r="G76" s="496" t="s">
        <v>265</v>
      </c>
      <c r="H76" s="484" t="s">
        <v>256</v>
      </c>
      <c r="I76" s="480" t="s">
        <v>242</v>
      </c>
      <c r="J76" s="480"/>
      <c r="K76" s="481"/>
      <c r="L76" s="497" t="str">
        <f>VLOOKUP(B76,'radky_R'!A:O,15,0)</f>
        <v>Podíly - ovládaná nebo ovládající osoba</v>
      </c>
      <c r="M76" s="498">
        <f>IF($M$4="f",B76,IF($M$4="z",IF(OR(N76&lt;&gt;0,O76&lt;&gt;0,P76&lt;&gt;0,Q76&lt;&gt;0),B76,"-"),IF($M$4="m",IF(OR(N76&lt;&gt;0,O76&lt;&gt;0,P76&lt;&gt;0,Q76&lt;&gt;0),MAX(M$8:M75)+1,"-"))))</f>
        <v>69</v>
      </c>
      <c r="N76" s="121">
        <f>IF($E76="calc",ROUND($A76*SUMIFS(DATA!$Y:$Y,DATA!$C:$C,INDEX!$D$11,DATA!$X:$X,N$4,DATA!$N:$N,$C76,DATA!$S:$S,$B76),0)+S76,SUMIFS(N:N,$D:$D,$E76))</f>
        <v>0</v>
      </c>
      <c r="O76" s="121">
        <f>IF($E76="calc",ROUND($A76*SUMIFS(DATA!$Y:$Y,DATA!$C:$C,INDEX!$D$11,DATA!$X:$X,O$4,DATA!$N:$N,$C76,DATA!$S:$S,$B76),0),SUMIFS(O:O,$D:$D,$E76))</f>
        <v>0</v>
      </c>
      <c r="P76" s="121">
        <f t="shared" si="1"/>
        <v>0</v>
      </c>
      <c r="Q76" s="122">
        <f>IF($E76="calc",ROUND($A76*SUMIFS(DATA!$Y:$Y,DATA!$C:$C,INDEX!$E$11,DATA!$N:$N,$C76,DATA!$S:$S,$B76),0)+T76,SUMIFS(Q:Q,$D:$D,$E76))</f>
        <v>0</v>
      </c>
      <c r="R76" s="11"/>
      <c r="S76" s="737"/>
      <c r="T76" s="738"/>
    </row>
    <row r="77" spans="1:20" x14ac:dyDescent="0.3">
      <c r="A77" s="428">
        <v>1</v>
      </c>
      <c r="B77" s="651">
        <v>70</v>
      </c>
      <c r="C77" s="429" t="s">
        <v>516</v>
      </c>
      <c r="D77" s="428" t="s">
        <v>1044</v>
      </c>
      <c r="E77" s="428" t="s">
        <v>1006</v>
      </c>
      <c r="F77" s="27"/>
      <c r="G77" s="519" t="s">
        <v>265</v>
      </c>
      <c r="H77" s="520" t="s">
        <v>256</v>
      </c>
      <c r="I77" s="521" t="s">
        <v>243</v>
      </c>
      <c r="J77" s="521"/>
      <c r="K77" s="522"/>
      <c r="L77" s="497" t="str">
        <f>VLOOKUP(B77,'radky_R'!A:O,15,0)</f>
        <v>Ostatní krátkodobý finanční majetek</v>
      </c>
      <c r="M77" s="498">
        <f>IF($M$4="f",B77,IF($M$4="z",IF(OR(N77&lt;&gt;0,O77&lt;&gt;0,P77&lt;&gt;0,Q77&lt;&gt;0),B77,"-"),IF($M$4="m",IF(OR(N77&lt;&gt;0,O77&lt;&gt;0,P77&lt;&gt;0,Q77&lt;&gt;0),MAX(M$8:M76)+1,"-"))))</f>
        <v>70</v>
      </c>
      <c r="N77" s="121">
        <f>IF($E77="calc",ROUND($A77*SUMIFS(DATA!$Y:$Y,DATA!$C:$C,INDEX!$D$11,DATA!$X:$X,N$4,DATA!$N:$N,$C77,DATA!$S:$S,$B77),0)+S77,SUMIFS(N:N,$D:$D,$E77))</f>
        <v>0</v>
      </c>
      <c r="O77" s="121">
        <f>IF($E77="calc",ROUND($A77*SUMIFS(DATA!$Y:$Y,DATA!$C:$C,INDEX!$D$11,DATA!$X:$X,O$4,DATA!$N:$N,$C77,DATA!$S:$S,$B77),0),SUMIFS(O:O,$D:$D,$E77))</f>
        <v>0</v>
      </c>
      <c r="P77" s="121">
        <f t="shared" si="1"/>
        <v>0</v>
      </c>
      <c r="Q77" s="122">
        <f>IF($E77="calc",ROUND($A77*SUMIFS(DATA!$Y:$Y,DATA!$C:$C,INDEX!$E$11,DATA!$N:$N,$C77,DATA!$S:$S,$B77),0)+T77,SUMIFS(Q:Q,$D:$D,$E77))</f>
        <v>0</v>
      </c>
      <c r="R77" s="11"/>
      <c r="S77" s="745"/>
      <c r="T77" s="746"/>
    </row>
    <row r="78" spans="1:20" x14ac:dyDescent="0.3">
      <c r="A78" s="428">
        <v>1</v>
      </c>
      <c r="B78" s="651">
        <v>71</v>
      </c>
      <c r="C78" s="429" t="s">
        <v>516</v>
      </c>
      <c r="D78" s="428" t="s">
        <v>265</v>
      </c>
      <c r="E78" s="428" t="s">
        <v>1045</v>
      </c>
      <c r="F78" s="27"/>
      <c r="G78" s="474" t="s">
        <v>265</v>
      </c>
      <c r="H78" s="475" t="s">
        <v>273</v>
      </c>
      <c r="I78" s="476"/>
      <c r="J78" s="476"/>
      <c r="K78" s="476"/>
      <c r="L78" s="477" t="str">
        <f>VLOOKUP(B78,'radky_R'!A:O,15,0)</f>
        <v>Peněžní prostředky      (ř. 72 až 73)</v>
      </c>
      <c r="M78" s="478">
        <f>IF($M$4="f",B78,IF($M$4="z",IF(OR(N78&lt;&gt;0,O78&lt;&gt;0,P78&lt;&gt;0,Q78&lt;&gt;0),B78,"-"),IF($M$4="m",IF(OR(N78&lt;&gt;0,O78&lt;&gt;0,P78&lt;&gt;0,Q78&lt;&gt;0),MAX(M$8:M77)+1,"-"))))</f>
        <v>71</v>
      </c>
      <c r="N78" s="118">
        <f>IF($E78="calc",ROUND($A78*SUMIFS(DATA!$Y:$Y,DATA!$C:$C,INDEX!$D$11,DATA!$X:$X,N$4,DATA!$N:$N,$C78,DATA!$S:$S,$B78),0)+S78,SUMIFS(N:N,$D:$D,$E78))</f>
        <v>0</v>
      </c>
      <c r="O78" s="118">
        <f>IF($E78="calc",ROUND($A78*SUMIFS(DATA!$Y:$Y,DATA!$C:$C,INDEX!$D$11,DATA!$X:$X,O$4,DATA!$N:$N,$C78,DATA!$S:$S,$B78),0),SUMIFS(O:O,$D:$D,$E78))</f>
        <v>0</v>
      </c>
      <c r="P78" s="118">
        <f t="shared" si="1"/>
        <v>0</v>
      </c>
      <c r="Q78" s="119">
        <f>IF($E78="calc",ROUND($A78*SUMIFS(DATA!$Y:$Y,DATA!$C:$C,INDEX!$E$11,DATA!$N:$N,$C78,DATA!$S:$S,$B78),0)+T78,SUMIFS(Q:Q,$D:$D,$E78))</f>
        <v>0</v>
      </c>
      <c r="R78" s="11"/>
      <c r="S78" s="761"/>
      <c r="T78" s="761"/>
    </row>
    <row r="79" spans="1:20" x14ac:dyDescent="0.3">
      <c r="A79" s="428">
        <v>1</v>
      </c>
      <c r="B79" s="651">
        <v>72</v>
      </c>
      <c r="C79" s="429" t="s">
        <v>516</v>
      </c>
      <c r="D79" s="428" t="s">
        <v>1045</v>
      </c>
      <c r="E79" s="428" t="s">
        <v>1006</v>
      </c>
      <c r="F79" s="27"/>
      <c r="G79" s="496" t="s">
        <v>265</v>
      </c>
      <c r="H79" s="484" t="s">
        <v>273</v>
      </c>
      <c r="I79" s="480" t="s">
        <v>242</v>
      </c>
      <c r="J79" s="480"/>
      <c r="K79" s="481"/>
      <c r="L79" s="497" t="str">
        <f>VLOOKUP(B79,'radky_R'!A:O,15,0)</f>
        <v>Peněžní prostředky v pokladně</v>
      </c>
      <c r="M79" s="498">
        <f>IF($M$4="f",B79,IF($M$4="z",IF(OR(N79&lt;&gt;0,O79&lt;&gt;0,P79&lt;&gt;0,Q79&lt;&gt;0),B79,"-"),IF($M$4="m",IF(OR(N79&lt;&gt;0,O79&lt;&gt;0,P79&lt;&gt;0,Q79&lt;&gt;0),MAX(M$8:M78)+1,"-"))))</f>
        <v>72</v>
      </c>
      <c r="N79" s="121">
        <f>IF($E79="calc",ROUND($A79*SUMIFS(DATA!$Y:$Y,DATA!$C:$C,INDEX!$D$11,DATA!$X:$X,N$4,DATA!$N:$N,$C79,DATA!$S:$S,$B79),0)+S79,SUMIFS(N:N,$D:$D,$E79))</f>
        <v>0</v>
      </c>
      <c r="O79" s="121">
        <f>IF($E79="calc",ROUND($A79*SUMIFS(DATA!$Y:$Y,DATA!$C:$C,INDEX!$D$11,DATA!$X:$X,O$4,DATA!$N:$N,$C79,DATA!$S:$S,$B79),0),SUMIFS(O:O,$D:$D,$E79))</f>
        <v>0</v>
      </c>
      <c r="P79" s="121">
        <f t="shared" si="1"/>
        <v>0</v>
      </c>
      <c r="Q79" s="122">
        <f>IF($E79="calc",ROUND($A79*SUMIFS(DATA!$Y:$Y,DATA!$C:$C,INDEX!$E$11,DATA!$N:$N,$C79,DATA!$S:$S,$B79),0)+T79,SUMIFS(Q:Q,$D:$D,$E79))</f>
        <v>0</v>
      </c>
      <c r="R79" s="11"/>
      <c r="S79" s="737"/>
      <c r="T79" s="738"/>
    </row>
    <row r="80" spans="1:20" ht="26.4" thickBot="1" x14ac:dyDescent="0.35">
      <c r="A80" s="428">
        <v>1</v>
      </c>
      <c r="B80" s="651">
        <v>73</v>
      </c>
      <c r="C80" s="429" t="s">
        <v>516</v>
      </c>
      <c r="D80" s="428" t="s">
        <v>1045</v>
      </c>
      <c r="E80" s="428" t="s">
        <v>1006</v>
      </c>
      <c r="F80" s="27"/>
      <c r="G80" s="533" t="s">
        <v>265</v>
      </c>
      <c r="H80" s="534" t="s">
        <v>273</v>
      </c>
      <c r="I80" s="535" t="s">
        <v>243</v>
      </c>
      <c r="J80" s="535"/>
      <c r="K80" s="536"/>
      <c r="L80" s="485" t="str">
        <f>VLOOKUP(B80,'radky_R'!A:O,15,0)</f>
        <v>Peněžní prostředky na účtech</v>
      </c>
      <c r="M80" s="516">
        <f>IF($M$4="f",B80,IF($M$4="z",IF(OR(N80&lt;&gt;0,O80&lt;&gt;0,P80&lt;&gt;0,Q80&lt;&gt;0),B80,"-"),IF($M$4="m",IF(OR(N80&lt;&gt;0,O80&lt;&gt;0,P80&lt;&gt;0,Q80&lt;&gt;0),MAX(M$8:M79)+1,"-"))))</f>
        <v>73</v>
      </c>
      <c r="N80" s="364">
        <f>IF($E80="calc",ROUND($A80*SUMIFS(DATA!$Y:$Y,DATA!$C:$C,INDEX!$D$11,DATA!$X:$X,N$4,DATA!$N:$N,$C80,DATA!$S:$S,$B80),0)+S80,SUMIFS(N:N,$D:$D,$E80))</f>
        <v>0</v>
      </c>
      <c r="O80" s="364">
        <f>IF($E80="calc",ROUND($A80*SUMIFS(DATA!$Y:$Y,DATA!$C:$C,INDEX!$D$11,DATA!$X:$X,O$4,DATA!$N:$N,$C80,DATA!$S:$S,$B80),0),SUMIFS(O:O,$D:$D,$E80))</f>
        <v>0</v>
      </c>
      <c r="P80" s="364">
        <f t="shared" si="1"/>
        <v>0</v>
      </c>
      <c r="Q80" s="365">
        <f>IF($E80="calc",ROUND($A80*SUMIFS(DATA!$Y:$Y,DATA!$C:$C,INDEX!$E$11,DATA!$N:$N,$C80,DATA!$S:$S,$B80),0)+T80,SUMIFS(Q:Q,$D:$D,$E80))</f>
        <v>0</v>
      </c>
      <c r="R80" s="770" t="s">
        <v>620</v>
      </c>
      <c r="S80" s="745"/>
      <c r="T80" s="746"/>
    </row>
    <row r="81" spans="1:20" x14ac:dyDescent="0.3">
      <c r="A81" s="428">
        <v>1</v>
      </c>
      <c r="B81" s="651">
        <v>74</v>
      </c>
      <c r="C81" s="429" t="s">
        <v>516</v>
      </c>
      <c r="D81" s="428" t="s">
        <v>1013</v>
      </c>
      <c r="E81" s="428" t="s">
        <v>274</v>
      </c>
      <c r="F81" s="27"/>
      <c r="G81" s="469" t="s">
        <v>274</v>
      </c>
      <c r="H81" s="470"/>
      <c r="I81" s="471"/>
      <c r="J81" s="471"/>
      <c r="K81" s="471"/>
      <c r="L81" s="472" t="str">
        <f>VLOOKUP(B81,'radky_R'!A:O,15,0)</f>
        <v>Časové rozlišení aktiv      (ř. 75 až 77)</v>
      </c>
      <c r="M81" s="473">
        <f>IF($M$4="f",B81,IF($M$4="z",IF(OR(N81&lt;&gt;0,O81&lt;&gt;0,P81&lt;&gt;0,Q81&lt;&gt;0),B81,"-"),IF($M$4="m",IF(OR(N81&lt;&gt;0,O81&lt;&gt;0,P81&lt;&gt;0,Q81&lt;&gt;0),MAX(M$8:M80)+1,"-"))))</f>
        <v>74</v>
      </c>
      <c r="N81" s="115">
        <f>IF($E81="calc",ROUND($A81*SUMIFS(DATA!$Y:$Y,DATA!$C:$C,INDEX!$D$11,DATA!$X:$X,N$4,DATA!$N:$N,$C81,DATA!$S:$S,$B81),0)+S81,SUMIFS(N:N,$D:$D,$E81))</f>
        <v>0</v>
      </c>
      <c r="O81" s="115">
        <f>IF($E81="calc",ROUND($A81*SUMIFS(DATA!$Y:$Y,DATA!$C:$C,INDEX!$D$11,DATA!$X:$X,O$4,DATA!$N:$N,$C81,DATA!$S:$S,$B81),0),SUMIFS(O:O,$D:$D,$E81))</f>
        <v>0</v>
      </c>
      <c r="P81" s="115">
        <f t="shared" si="1"/>
        <v>0</v>
      </c>
      <c r="Q81" s="116">
        <f>IF($E81="calc",ROUND($A81*SUMIFS(DATA!$Y:$Y,DATA!$C:$C,INDEX!$E$11,DATA!$N:$N,$C81,DATA!$S:$S,$B81),0)+T81,SUMIFS(Q:Q,$D:$D,$E81))</f>
        <v>0</v>
      </c>
      <c r="R81" s="770"/>
      <c r="S81" s="761"/>
      <c r="T81" s="761"/>
    </row>
    <row r="82" spans="1:20" x14ac:dyDescent="0.3">
      <c r="A82" s="428">
        <v>1</v>
      </c>
      <c r="B82" s="651">
        <v>75</v>
      </c>
      <c r="C82" s="429" t="s">
        <v>516</v>
      </c>
      <c r="D82" s="428" t="s">
        <v>274</v>
      </c>
      <c r="E82" s="428" t="s">
        <v>1006</v>
      </c>
      <c r="F82" s="27"/>
      <c r="G82" s="537" t="s">
        <v>274</v>
      </c>
      <c r="H82" s="538" t="s">
        <v>242</v>
      </c>
      <c r="I82" s="539"/>
      <c r="J82" s="539"/>
      <c r="K82" s="540"/>
      <c r="L82" s="497" t="str">
        <f>VLOOKUP(B82,'radky_R'!A:O,15,0)</f>
        <v xml:space="preserve">Náklady příštích období </v>
      </c>
      <c r="M82" s="498">
        <f>IF($M$4="f",B82,IF($M$4="z",IF(OR(N82&lt;&gt;0,O82&lt;&gt;0,P82&lt;&gt;0,Q82&lt;&gt;0),B82,"-"),IF($M$4="m",IF(OR(N82&lt;&gt;0,O82&lt;&gt;0,P82&lt;&gt;0,Q82&lt;&gt;0),MAX(M$8:M81)+1,"-"))))</f>
        <v>75</v>
      </c>
      <c r="N82" s="121">
        <f>IF($E82="calc",ROUND($A82*SUMIFS(DATA!$Y:$Y,DATA!$C:$C,INDEX!$D$11,DATA!$X:$X,N$4,DATA!$N:$N,$C82,DATA!$S:$S,$B82),0)+S82,SUMIFS(N:N,$D:$D,$E82))</f>
        <v>0</v>
      </c>
      <c r="O82" s="121">
        <f>IF($E82="calc",ROUND($A82*SUMIFS(DATA!$Y:$Y,DATA!$C:$C,INDEX!$D$11,DATA!$X:$X,O$4,DATA!$N:$N,$C82,DATA!$S:$S,$B82),0),SUMIFS(O:O,$D:$D,$E82))</f>
        <v>0</v>
      </c>
      <c r="P82" s="121">
        <f t="shared" si="1"/>
        <v>0</v>
      </c>
      <c r="Q82" s="122">
        <f>IF($E82="calc",ROUND($A82*SUMIFS(DATA!$Y:$Y,DATA!$C:$C,INDEX!$E$11,DATA!$N:$N,$C82,DATA!$S:$S,$B82),0)+T82,SUMIFS(Q:Q,$D:$D,$E82))</f>
        <v>0</v>
      </c>
      <c r="R82" s="770"/>
      <c r="S82" s="737"/>
      <c r="T82" s="738"/>
    </row>
    <row r="83" spans="1:20" x14ac:dyDescent="0.3">
      <c r="A83" s="428">
        <v>1</v>
      </c>
      <c r="B83" s="651">
        <v>76</v>
      </c>
      <c r="C83" s="429" t="s">
        <v>516</v>
      </c>
      <c r="D83" s="428" t="s">
        <v>274</v>
      </c>
      <c r="E83" s="428" t="s">
        <v>1006</v>
      </c>
      <c r="F83" s="27"/>
      <c r="G83" s="496" t="s">
        <v>274</v>
      </c>
      <c r="H83" s="484" t="s">
        <v>243</v>
      </c>
      <c r="I83" s="480"/>
      <c r="J83" s="480"/>
      <c r="K83" s="481"/>
      <c r="L83" s="497" t="str">
        <f>VLOOKUP(B83,'radky_R'!A:O,15,0)</f>
        <v>Komplexní náklady příštích období</v>
      </c>
      <c r="M83" s="498">
        <f>IF($M$4="f",B83,IF($M$4="z",IF(OR(N83&lt;&gt;0,O83&lt;&gt;0,P83&lt;&gt;0,Q83&lt;&gt;0),B83,"-"),IF($M$4="m",IF(OR(N83&lt;&gt;0,O83&lt;&gt;0,P83&lt;&gt;0,Q83&lt;&gt;0),MAX(M$8:M82)+1,"-"))))</f>
        <v>76</v>
      </c>
      <c r="N83" s="121">
        <f>IF($E83="calc",ROUND($A83*SUMIFS(DATA!$Y:$Y,DATA!$C:$C,INDEX!$D$11,DATA!$X:$X,N$4,DATA!$N:$N,$C83,DATA!$S:$S,$B83),0)+S83,SUMIFS(N:N,$D:$D,$E83))</f>
        <v>0</v>
      </c>
      <c r="O83" s="121">
        <f>IF($E83="calc",ROUND($A83*SUMIFS(DATA!$Y:$Y,DATA!$C:$C,INDEX!$D$11,DATA!$X:$X,O$4,DATA!$N:$N,$C83,DATA!$S:$S,$B83),0),SUMIFS(O:O,$D:$D,$E83))</f>
        <v>0</v>
      </c>
      <c r="P83" s="121">
        <f t="shared" si="1"/>
        <v>0</v>
      </c>
      <c r="Q83" s="122">
        <f>IF($E83="calc",ROUND($A83*SUMIFS(DATA!$Y:$Y,DATA!$C:$C,INDEX!$E$11,DATA!$N:$N,$C83,DATA!$S:$S,$B83),0)+T83,SUMIFS(Q:Q,$D:$D,$E83))</f>
        <v>0</v>
      </c>
      <c r="R83" s="770"/>
      <c r="S83" s="719"/>
      <c r="T83" s="720"/>
    </row>
    <row r="84" spans="1:20" ht="26.4" thickBot="1" x14ac:dyDescent="0.35">
      <c r="A84" s="428">
        <v>1</v>
      </c>
      <c r="B84" s="651">
        <v>77</v>
      </c>
      <c r="C84" s="429" t="s">
        <v>516</v>
      </c>
      <c r="D84" s="428" t="s">
        <v>274</v>
      </c>
      <c r="E84" s="428" t="s">
        <v>1006</v>
      </c>
      <c r="F84" s="27"/>
      <c r="G84" s="533" t="s">
        <v>274</v>
      </c>
      <c r="H84" s="534" t="s">
        <v>244</v>
      </c>
      <c r="I84" s="535"/>
      <c r="J84" s="535"/>
      <c r="K84" s="536"/>
      <c r="L84" s="541" t="str">
        <f>VLOOKUP(B84,'radky_R'!A:O,15,0)</f>
        <v>Příjmy příštích období</v>
      </c>
      <c r="M84" s="542">
        <f>IF($M$4="f",B84,IF($M$4="z",IF(OR(N84&lt;&gt;0,O84&lt;&gt;0,P84&lt;&gt;0,Q84&lt;&gt;0),B84,"-"),IF($M$4="m",IF(OR(N84&lt;&gt;0,O84&lt;&gt;0,P84&lt;&gt;0,Q84&lt;&gt;0),MAX(M$8:M83)+1,"-"))))</f>
        <v>77</v>
      </c>
      <c r="N84" s="123">
        <f>IF($E84="calc",ROUND($A84*SUMIFS(DATA!$Y:$Y,DATA!$C:$C,INDEX!$D$11,DATA!$X:$X,N$4,DATA!$N:$N,$C84,DATA!$S:$S,$B84),0)+S84,SUMIFS(N:N,$D:$D,$E84))</f>
        <v>0</v>
      </c>
      <c r="O84" s="123">
        <f>IF($E84="calc",ROUND($A84*SUMIFS(DATA!$Y:$Y,DATA!$C:$C,INDEX!$D$11,DATA!$X:$X,O$4,DATA!$N:$N,$C84,DATA!$S:$S,$B84),0),SUMIFS(O:O,$D:$D,$E84))</f>
        <v>0</v>
      </c>
      <c r="P84" s="123">
        <f t="shared" si="1"/>
        <v>0</v>
      </c>
      <c r="Q84" s="124">
        <f>IF($E84="calc",ROUND($A84*SUMIFS(DATA!$Y:$Y,DATA!$C:$C,INDEX!$E$11,DATA!$N:$N,$C84,DATA!$S:$S,$B84),0)+T84,SUMIFS(Q:Q,$D:$D,$E84))</f>
        <v>0</v>
      </c>
      <c r="R84" s="770"/>
      <c r="S84" s="745"/>
      <c r="T84" s="746"/>
    </row>
    <row r="85" spans="1:20" ht="7.5" customHeight="1" x14ac:dyDescent="0.3">
      <c r="G85" s="653"/>
      <c r="H85" s="653"/>
      <c r="I85" s="653"/>
      <c r="J85" s="653"/>
      <c r="K85" s="653"/>
      <c r="L85" s="653"/>
      <c r="M85" s="653"/>
      <c r="N85" s="653"/>
      <c r="O85" s="653"/>
      <c r="P85" s="653"/>
      <c r="Q85" s="653"/>
    </row>
  </sheetData>
  <sheetProtection algorithmName="SHA-512" hashValue="HyNMkhcLyv4h2rSwTIPVEqcp39OoOLiVXt2gnb/gwrBDfYhlrlmDxVA86B2s2YFCiMcolBBhioFxM5aQzHKyKg==" saltValue="MZV7muHNvoONlKStL1MNxg==" spinCount="100000" sheet="1" objects="1" scenarios="1" autoFilter="0"/>
  <autoFilter ref="M7:M84" xr:uid="{00000000-0009-0000-0000-000003000000}"/>
  <mergeCells count="5">
    <mergeCell ref="R80:R84"/>
    <mergeCell ref="G5:I5"/>
    <mergeCell ref="G7:I7"/>
    <mergeCell ref="N5:P5"/>
    <mergeCell ref="R39:R43"/>
  </mergeCells>
  <conditionalFormatting sqref="S7:T7">
    <cfRule type="cellIs" dxfId="131" priority="21" operator="equal">
      <formula>0</formula>
    </cfRule>
  </conditionalFormatting>
  <conditionalFormatting sqref="S9:T9 S12:T12 S14:T17 S19:T20 S60:T63">
    <cfRule type="expression" dxfId="130" priority="20">
      <formula>S$7&lt;&gt;0</formula>
    </cfRule>
  </conditionalFormatting>
  <conditionalFormatting sqref="S23:T26">
    <cfRule type="expression" dxfId="129" priority="18">
      <formula>S$7&lt;&gt;0</formula>
    </cfRule>
  </conditionalFormatting>
  <conditionalFormatting sqref="S28:T30">
    <cfRule type="expression" dxfId="128" priority="17">
      <formula>S$7&lt;&gt;0</formula>
    </cfRule>
  </conditionalFormatting>
  <conditionalFormatting sqref="S32:T33">
    <cfRule type="expression" dxfId="127" priority="15">
      <formula>S$7&lt;&gt;0</formula>
    </cfRule>
  </conditionalFormatting>
  <conditionalFormatting sqref="S35:T40">
    <cfRule type="expression" dxfId="126" priority="14">
      <formula>S$7&lt;&gt;0</formula>
    </cfRule>
  </conditionalFormatting>
  <conditionalFormatting sqref="S42:T43">
    <cfRule type="expression" dxfId="125" priority="13">
      <formula>S$7&lt;&gt;0</formula>
    </cfRule>
  </conditionalFormatting>
  <conditionalFormatting sqref="S46:T47">
    <cfRule type="expression" dxfId="124" priority="11">
      <formula>S$7&lt;&gt;0</formula>
    </cfRule>
  </conditionalFormatting>
  <conditionalFormatting sqref="S49:T52">
    <cfRule type="expression" dxfId="123" priority="9">
      <formula>S$7&lt;&gt;0</formula>
    </cfRule>
  </conditionalFormatting>
  <conditionalFormatting sqref="S55:T58">
    <cfRule type="expression" dxfId="122" priority="7">
      <formula>S$7&lt;&gt;0</formula>
    </cfRule>
  </conditionalFormatting>
  <conditionalFormatting sqref="S65:T67">
    <cfRule type="expression" dxfId="121" priority="5">
      <formula>S$7&lt;&gt;0</formula>
    </cfRule>
  </conditionalFormatting>
  <conditionalFormatting sqref="S69:T74">
    <cfRule type="expression" dxfId="120" priority="4">
      <formula>S$7&lt;&gt;0</formula>
    </cfRule>
  </conditionalFormatting>
  <conditionalFormatting sqref="S76:T77">
    <cfRule type="expression" dxfId="119" priority="3">
      <formula>S$7&lt;&gt;0</formula>
    </cfRule>
  </conditionalFormatting>
  <conditionalFormatting sqref="S79:T80">
    <cfRule type="expression" dxfId="118" priority="2">
      <formula>S$7&lt;&gt;0</formula>
    </cfRule>
  </conditionalFormatting>
  <conditionalFormatting sqref="S82:T84">
    <cfRule type="expression" dxfId="117" priority="1">
      <formula>S$7&lt;&gt;0</formula>
    </cfRule>
  </conditionalFormatting>
  <pageMargins left="0.39370078740157483" right="0.39370078740157483" top="0.19685039370078741" bottom="0.39370078740157483" header="0" footer="0"/>
  <pageSetup paperSize="9" scale="65" fitToHeight="0" orientation="portrait" r:id="rId1"/>
  <headerFooter scaleWithDoc="0"/>
  <rowBreaks count="1" manualBreakCount="1">
    <brk id="43" min="6" max="17" man="1"/>
  </rowBreaks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List5">
    <tabColor theme="0" tint="-0.499984740745262"/>
  </sheetPr>
  <dimension ref="A1:R73"/>
  <sheetViews>
    <sheetView showGridLines="0" showZeros="0" topLeftCell="F1" zoomScale="85" zoomScaleNormal="85" workbookViewId="0">
      <pane ySplit="7" topLeftCell="A50" activePane="bottomLeft" state="frozen"/>
      <selection activeCell="L38" sqref="L38"/>
      <selection pane="bottomLeft" activeCell="M51" sqref="M51"/>
    </sheetView>
  </sheetViews>
  <sheetFormatPr defaultColWidth="0" defaultRowHeight="23.4" zeroHeight="1" x14ac:dyDescent="0.3"/>
  <cols>
    <col min="1" max="1" width="3.88671875" style="428" hidden="1" customWidth="1"/>
    <col min="2" max="2" width="5.109375" style="428" hidden="1" customWidth="1"/>
    <col min="3" max="3" width="6.6640625" style="429" hidden="1" customWidth="1"/>
    <col min="4" max="5" width="6" style="428" hidden="1" customWidth="1"/>
    <col min="6" max="6" width="2.88671875" style="432" customWidth="1"/>
    <col min="7" max="10" width="2.88671875" style="125" customWidth="1"/>
    <col min="11" max="11" width="75.6640625" style="125" customWidth="1"/>
    <col min="12" max="12" width="6.44140625" style="125" customWidth="1"/>
    <col min="13" max="14" width="28.6640625" style="125" customWidth="1"/>
    <col min="15" max="15" width="2.6640625" style="12" customWidth="1"/>
    <col min="16" max="17" width="4.5546875" style="11" customWidth="1"/>
    <col min="18" max="18" width="2.6640625" style="11" customWidth="1"/>
    <col min="19" max="16384" width="9.109375" style="11" hidden="1"/>
  </cols>
  <sheetData>
    <row r="1" spans="1:17" s="10" customFormat="1" ht="25.8" x14ac:dyDescent="0.5">
      <c r="A1" s="425"/>
      <c r="B1" s="425"/>
      <c r="C1" s="426"/>
      <c r="D1" s="425"/>
      <c r="E1" s="425"/>
      <c r="F1" s="427"/>
      <c r="G1" s="127" t="str">
        <f>IF(jazyk="česky","ROZVAHA v plném rozsahu",IF(jazyk="anglicky","BALANCE SHEET in full format",IF(jazyk="německy","BILANZ in vollständiger Fassung","-")))</f>
        <v>ROZVAHA v plném rozsahu</v>
      </c>
      <c r="H1" s="52"/>
      <c r="I1" s="52"/>
      <c r="J1" s="52"/>
      <c r="K1" s="52"/>
      <c r="L1" s="53"/>
      <c r="M1" s="128"/>
      <c r="N1" s="129">
        <f>INDEX!C6</f>
        <v>0</v>
      </c>
    </row>
    <row r="2" spans="1:17" ht="15.6" x14ac:dyDescent="0.3">
      <c r="F2" s="430"/>
      <c r="G2" s="54" t="str">
        <f>CONCATENATE(IF(jazyk="česky","ke dni",IF(jazyk="anglicky","as at",IF(jazyk="německy","zum","-"))),"   ",DAY(INDEX!D11),".",MONTH(INDEX!D11),".",YEAR(INDEX!D11))</f>
        <v>ke dni   31.12.2025</v>
      </c>
      <c r="H2" s="55"/>
      <c r="I2" s="55"/>
      <c r="J2" s="55"/>
      <c r="K2" s="55"/>
      <c r="L2" s="56"/>
      <c r="M2" s="57"/>
      <c r="N2" s="58">
        <f>INDEX!C8</f>
        <v>0</v>
      </c>
      <c r="O2" s="11"/>
    </row>
    <row r="3" spans="1:17" ht="15.6" x14ac:dyDescent="0.3">
      <c r="F3" s="431"/>
      <c r="G3" s="54" t="str">
        <f>CONCATENATE("(",VLOOKUP(zaokr,INDEX!I17:J18,2,0),")")</f>
        <v>(v celých tisících Kč)</v>
      </c>
      <c r="H3" s="57"/>
      <c r="I3" s="57"/>
      <c r="J3" s="57"/>
      <c r="K3" s="57"/>
      <c r="L3" s="59"/>
      <c r="M3" s="141"/>
      <c r="N3" s="61">
        <f>INDEX!C4</f>
        <v>0</v>
      </c>
      <c r="O3" s="11"/>
    </row>
    <row r="4" spans="1:17" ht="24" thickBot="1" x14ac:dyDescent="0.35">
      <c r="G4" s="57"/>
      <c r="H4" s="57"/>
      <c r="I4" s="57"/>
      <c r="J4" s="57"/>
      <c r="K4" s="57"/>
      <c r="L4" s="659" t="s">
        <v>1281</v>
      </c>
      <c r="M4" s="106"/>
      <c r="N4" s="131"/>
      <c r="O4" s="11"/>
    </row>
    <row r="5" spans="1:17" x14ac:dyDescent="0.3">
      <c r="C5" s="429" t="s">
        <v>517</v>
      </c>
      <c r="G5" s="771" t="str">
        <f>IF(jazyk="česky","Označení",IF(jazyk="anglicky","Ident.",IF(jazyk="německy","Ident.","-")))</f>
        <v>Označení</v>
      </c>
      <c r="H5" s="772"/>
      <c r="I5" s="772"/>
      <c r="J5" s="358"/>
      <c r="K5" s="62" t="str">
        <f>IF(jazyk="česky","PASIVA",IF(jazyk="anglicky","EQUITY AND LIABILITIES",IF(jazyk="německy","PASSIVA","-")))</f>
        <v>PASIVA</v>
      </c>
      <c r="L5" s="63" t="str">
        <f>IF(jazyk="česky","Číslo",IF(jazyk="anglicky"," ",IF(jazyk="německy"," ","-")))</f>
        <v>Číslo</v>
      </c>
      <c r="M5" s="780" t="str">
        <f>IF(jazyk="česky","Stav v běžném účetním období",IF(jazyk="anglicky","Current period",IF(jazyk="německy","Laufende Periode","-")))</f>
        <v>Stav v běžném účetním období</v>
      </c>
      <c r="N5" s="782" t="str">
        <f>IF(jazyk="česky","Stav v minulém účetním období",IF(jazyk="anglicky","Prior period",IF(jazyk="německy","Vorjahr","-")))</f>
        <v>Stav v minulém účetním období</v>
      </c>
      <c r="O5" s="11"/>
      <c r="P5" s="285">
        <f>-(ROUND(SUMIFS(DATA!$Y:$Y,DATA!$C:$C,INDEX!$D$11,DATA!$N:$N,$C5)+SUMIFS(DATA!$Y:$Y,DATA!$C:$C,INDEX!$D$11,DATA!$M:$M,"Výsledovka"),0)+SUMIF($D:$D,"PAS",M:M))+SUM(P8:P73)</f>
        <v>0</v>
      </c>
      <c r="Q5" s="285">
        <f>-(ROUND(SUMIFS(DATA!$Y:$Y,DATA!$C:$C,INDEX!$E$11,DATA!$N:$N,$C5),0)+SUMIFS(DATA!$Y:$Y,DATA!$C:$C,INDEX!$E$11,DATA!$M:$M,"Výsledovka")+SUMIF($D:$D,"PAS",N:N))+SUM(Q8:Q73)</f>
        <v>0</v>
      </c>
    </row>
    <row r="6" spans="1:17" ht="12.75" customHeight="1" x14ac:dyDescent="0.3">
      <c r="G6" s="64"/>
      <c r="H6" s="65"/>
      <c r="I6" s="65"/>
      <c r="J6" s="66"/>
      <c r="K6" s="67"/>
      <c r="L6" s="68" t="str">
        <f>IF(jazyk="česky","řádku",IF(jazyk="anglicky","Line",IF(jazyk="německy","Zeile","-")))</f>
        <v>řádku</v>
      </c>
      <c r="M6" s="781"/>
      <c r="N6" s="783"/>
      <c r="O6" s="11"/>
      <c r="P6" s="286" t="s">
        <v>349</v>
      </c>
      <c r="Q6" s="286" t="s">
        <v>350</v>
      </c>
    </row>
    <row r="7" spans="1:17" ht="13.5" customHeight="1" thickBot="1" x14ac:dyDescent="0.35">
      <c r="A7" s="428" t="s">
        <v>1244</v>
      </c>
      <c r="B7" s="428" t="s">
        <v>258</v>
      </c>
      <c r="C7" s="429" t="s">
        <v>517</v>
      </c>
      <c r="D7" s="428" t="s">
        <v>677</v>
      </c>
      <c r="E7" s="428" t="s">
        <v>1007</v>
      </c>
      <c r="G7" s="778" t="s">
        <v>259</v>
      </c>
      <c r="H7" s="779"/>
      <c r="I7" s="779"/>
      <c r="J7" s="360"/>
      <c r="K7" s="112" t="s">
        <v>237</v>
      </c>
      <c r="L7" s="113" t="s">
        <v>238</v>
      </c>
      <c r="M7" s="108">
        <v>5</v>
      </c>
      <c r="N7" s="132">
        <v>6</v>
      </c>
      <c r="O7" s="11"/>
      <c r="P7" s="283">
        <f>ROUND(AKTIVA!P8,0)-SUMIF($D:$D,"PAS",M:M)</f>
        <v>0</v>
      </c>
      <c r="Q7" s="284">
        <f>ROUND(AKTIVA!Q8,0)-SUMIF($D:$D,"PAS",N:N)</f>
        <v>0</v>
      </c>
    </row>
    <row r="8" spans="1:17" ht="26.4" thickBot="1" x14ac:dyDescent="0.35">
      <c r="B8" s="651">
        <v>78</v>
      </c>
      <c r="E8" s="428" t="s">
        <v>1047</v>
      </c>
      <c r="F8" s="433"/>
      <c r="G8" s="460"/>
      <c r="H8" s="461"/>
      <c r="I8" s="461"/>
      <c r="J8" s="543"/>
      <c r="K8" s="462" t="str">
        <f>VLOOKUP(B8,'radky_R'!A:O,15,0)</f>
        <v>PASIVA CELKEM      (ř. 79 + 101 + 141)</v>
      </c>
      <c r="L8" s="463">
        <v>78</v>
      </c>
      <c r="M8" s="384">
        <f>IF($E8="calc",ROUND(-SUMIFS(DATA!$Y:$Y,DATA!$C:$C,INDEX!$D$11,DATA!$N:$N,$C8,DATA!$S:$S,$B8),0)+P8,SUMIFS(M:M,$D:$D,$E8))</f>
        <v>0</v>
      </c>
      <c r="N8" s="385">
        <f>IF($E8="calc",ROUND(-SUMIFS(DATA!$Y:$Y,DATA!$C:$C,INDEX!$E$11,DATA!$N:$N,$C8,DATA!$S:$S,$B8),0)+Q8,SUMIFS(N:N,$D:$D,$E8))</f>
        <v>0</v>
      </c>
      <c r="O8" s="11"/>
      <c r="P8" s="723"/>
      <c r="Q8" s="724"/>
    </row>
    <row r="9" spans="1:17" ht="25.8" x14ac:dyDescent="0.3">
      <c r="A9" s="428">
        <v>-1</v>
      </c>
      <c r="B9" s="651">
        <v>79</v>
      </c>
      <c r="C9" s="429" t="s">
        <v>517</v>
      </c>
      <c r="D9" s="428" t="s">
        <v>1047</v>
      </c>
      <c r="E9" s="428" t="s">
        <v>239</v>
      </c>
      <c r="F9" s="433"/>
      <c r="G9" s="469" t="s">
        <v>239</v>
      </c>
      <c r="H9" s="470"/>
      <c r="I9" s="471" t="s">
        <v>262</v>
      </c>
      <c r="J9" s="544"/>
      <c r="K9" s="472" t="str">
        <f>VLOOKUP(B9,'radky_R'!A:O,15,0)</f>
        <v>Vlastní kapitál      (ř. 80 + 84 + 92 + 95 + 99 + 100)</v>
      </c>
      <c r="L9" s="473">
        <f>IF($L$4="f",B9,IF($L$4="z",IF(OR(M9&lt;&gt;0,N9&lt;&gt;0),B9,"-"),IF($L$4="m",IF(OR(M9&lt;&gt;0,N9&lt;&gt;0),MAX(L$8:L8)+1,"-"),"-")))</f>
        <v>79</v>
      </c>
      <c r="M9" s="386">
        <f>IF($E9="calc",ROUND(-SUMIFS(DATA!$Y:$Y,DATA!$C:$C,INDEX!$D$11,DATA!$N:$N,$C9,DATA!$S:$S,$B9),0)+P9,SUMIFS(M:M,$D:$D,$E9))</f>
        <v>0</v>
      </c>
      <c r="N9" s="387">
        <f>IF($E9="calc",ROUND(-SUMIFS(DATA!$Y:$Y,DATA!$C:$C,INDEX!$E$11,DATA!$N:$N,$C9,DATA!$S:$S,$B9),0)+Q9,SUMIFS(N:N,$D:$D,$E9))</f>
        <v>0</v>
      </c>
      <c r="O9" s="11"/>
      <c r="P9" s="721"/>
      <c r="Q9" s="722"/>
    </row>
    <row r="10" spans="1:17" ht="25.8" x14ac:dyDescent="0.3">
      <c r="A10" s="428">
        <v>-1</v>
      </c>
      <c r="B10" s="651">
        <v>80</v>
      </c>
      <c r="C10" s="429" t="s">
        <v>517</v>
      </c>
      <c r="D10" s="428" t="str">
        <f>IF(G10&gt;0,G10,D9)</f>
        <v>A.</v>
      </c>
      <c r="E10" s="428" t="s">
        <v>1046</v>
      </c>
      <c r="F10" s="433"/>
      <c r="G10" s="474" t="s">
        <v>239</v>
      </c>
      <c r="H10" s="475" t="s">
        <v>241</v>
      </c>
      <c r="I10" s="475"/>
      <c r="J10" s="545"/>
      <c r="K10" s="477" t="str">
        <f>VLOOKUP(B10,'radky_R'!A:O,15,0)</f>
        <v>Základní kapitál      (ř. 81 až 83)</v>
      </c>
      <c r="L10" s="478">
        <f>IF($L$4="f",B10,IF($L$4="z",IF(OR(M10&lt;&gt;0,N10&lt;&gt;0),B10,"-"),IF($L$4="m",IF(OR(M10&lt;&gt;0,N10&lt;&gt;0),MAX(L$8:L9)+1,"-"),"-")))</f>
        <v>80</v>
      </c>
      <c r="M10" s="79">
        <f>IF($E10="calc",ROUND(-SUMIFS(DATA!$Y:$Y,DATA!$C:$C,INDEX!$D$11,DATA!$N:$N,$C10,DATA!$S:$S,$B10),0)+P10,SUMIFS(M:M,$D:$D,$E10))</f>
        <v>0</v>
      </c>
      <c r="N10" s="88">
        <f>IF($E10="calc",ROUND(-SUMIFS(DATA!$Y:$Y,DATA!$C:$C,INDEX!$E$11,DATA!$N:$N,$C10,DATA!$S:$S,$B10),0)+Q10,SUMIFS(N:N,$D:$D,$E10))</f>
        <v>0</v>
      </c>
      <c r="O10" s="11"/>
      <c r="P10" s="729"/>
      <c r="Q10" s="730"/>
    </row>
    <row r="11" spans="1:17" ht="25.8" x14ac:dyDescent="0.3">
      <c r="A11" s="428">
        <v>-1</v>
      </c>
      <c r="B11" s="651">
        <v>81</v>
      </c>
      <c r="C11" s="429" t="s">
        <v>517</v>
      </c>
      <c r="D11" s="428" t="s">
        <v>1046</v>
      </c>
      <c r="E11" s="428" t="s">
        <v>1006</v>
      </c>
      <c r="F11" s="433"/>
      <c r="G11" s="546" t="s">
        <v>239</v>
      </c>
      <c r="H11" s="547" t="s">
        <v>241</v>
      </c>
      <c r="I11" s="547" t="s">
        <v>242</v>
      </c>
      <c r="J11" s="548"/>
      <c r="K11" s="549" t="str">
        <f>VLOOKUP(B11,'radky_R'!A:O,15,0)</f>
        <v>Základní kapitál</v>
      </c>
      <c r="L11" s="550">
        <f>IF($L$4="f",B11,IF($L$4="z",IF(OR(M11&lt;&gt;0,N11&lt;&gt;0),B11,"-"),IF($L$4="m",IF(OR(M11&lt;&gt;0,N11&lt;&gt;0),MAX(L$8:L10)+1,"-"),"-")))</f>
        <v>81</v>
      </c>
      <c r="M11" s="137">
        <f>IF($E11="calc",ROUND(-SUMIFS(DATA!$Y:$Y,DATA!$C:$C,INDEX!$D$11,DATA!$N:$N,$C11,DATA!$S:$S,$B11),0)+P11,SUMIFS(M:M,$D:$D,$E11))</f>
        <v>0</v>
      </c>
      <c r="N11" s="138">
        <f>IF($E11="calc",ROUND(-SUMIFS(DATA!$Y:$Y,DATA!$C:$C,INDEX!$E$11,DATA!$N:$N,$C11,DATA!$S:$S,$B11),0)+Q11,SUMIFS(N:N,$D:$D,$E11))</f>
        <v>0</v>
      </c>
      <c r="O11" s="11"/>
      <c r="P11" s="737"/>
      <c r="Q11" s="738"/>
    </row>
    <row r="12" spans="1:17" ht="25.8" x14ac:dyDescent="0.3">
      <c r="A12" s="428">
        <v>-1</v>
      </c>
      <c r="B12" s="651">
        <v>82</v>
      </c>
      <c r="C12" s="429" t="s">
        <v>517</v>
      </c>
      <c r="D12" s="428" t="s">
        <v>1046</v>
      </c>
      <c r="E12" s="428" t="s">
        <v>1006</v>
      </c>
      <c r="F12" s="433"/>
      <c r="G12" s="546" t="s">
        <v>239</v>
      </c>
      <c r="H12" s="547" t="s">
        <v>241</v>
      </c>
      <c r="I12" s="547" t="s">
        <v>243</v>
      </c>
      <c r="J12" s="548"/>
      <c r="K12" s="551" t="str">
        <f>VLOOKUP(B12,'radky_R'!A:O,15,0)</f>
        <v>Vlastní podíly (-)</v>
      </c>
      <c r="L12" s="498">
        <f>IF($L$4="f",B12,IF($L$4="z",IF(OR(M12&lt;&gt;0,N12&lt;&gt;0),B12,"-"),IF($L$4="m",IF(OR(M12&lt;&gt;0,N12&lt;&gt;0),MAX(L$8:L11)+1,"-"),"-")))</f>
        <v>82</v>
      </c>
      <c r="M12" s="84">
        <f>IF($E12="calc",ROUND(-SUMIFS(DATA!$Y:$Y,DATA!$C:$C,INDEX!$D$11,DATA!$N:$N,$C12,DATA!$S:$S,$B12),0)+P12,SUMIFS(M:M,$D:$D,$E12))</f>
        <v>0</v>
      </c>
      <c r="N12" s="85">
        <f>IF($E12="calc",ROUND(-SUMIFS(DATA!$Y:$Y,DATA!$C:$C,INDEX!$E$11,DATA!$N:$N,$C12,DATA!$S:$S,$B12),0)+Q12,SUMIFS(N:N,$D:$D,$E12))</f>
        <v>0</v>
      </c>
      <c r="O12" s="11"/>
      <c r="P12" s="719"/>
      <c r="Q12" s="720"/>
    </row>
    <row r="13" spans="1:17" ht="25.8" x14ac:dyDescent="0.3">
      <c r="A13" s="428">
        <v>-1</v>
      </c>
      <c r="B13" s="651">
        <v>83</v>
      </c>
      <c r="C13" s="429" t="s">
        <v>517</v>
      </c>
      <c r="D13" s="428" t="s">
        <v>1046</v>
      </c>
      <c r="E13" s="428" t="s">
        <v>1006</v>
      </c>
      <c r="F13" s="433"/>
      <c r="G13" s="552" t="s">
        <v>239</v>
      </c>
      <c r="H13" s="553" t="s">
        <v>241</v>
      </c>
      <c r="I13" s="554" t="s">
        <v>244</v>
      </c>
      <c r="J13" s="555"/>
      <c r="K13" s="551" t="str">
        <f>VLOOKUP(B13,'radky_R'!A:O,15,0)</f>
        <v>Změny základního kapitálu</v>
      </c>
      <c r="L13" s="498">
        <f>IF($L$4="f",B13,IF($L$4="z",IF(OR(M13&lt;&gt;0,N13&lt;&gt;0),B13,"-"),IF($L$4="m",IF(OR(M13&lt;&gt;0,N13&lt;&gt;0),MAX(L$8:L12)+1,"-"),"-")))</f>
        <v>83</v>
      </c>
      <c r="M13" s="84">
        <f>IF($E13="calc",ROUND(-SUMIFS(DATA!$Y:$Y,DATA!$C:$C,INDEX!$D$11,DATA!$N:$N,$C13,DATA!$S:$S,$B13),0)+P13,SUMIFS(M:M,$D:$D,$E13))</f>
        <v>0</v>
      </c>
      <c r="N13" s="85">
        <f>IF($E13="calc",ROUND(-SUMIFS(DATA!$Y:$Y,DATA!$C:$C,INDEX!$E$11,DATA!$N:$N,$C13,DATA!$S:$S,$B13),0)+Q13,SUMIFS(N:N,$D:$D,$E13))</f>
        <v>0</v>
      </c>
      <c r="O13" s="11"/>
      <c r="P13" s="745"/>
      <c r="Q13" s="746"/>
    </row>
    <row r="14" spans="1:17" ht="25.8" x14ac:dyDescent="0.3">
      <c r="A14" s="428">
        <v>-1</v>
      </c>
      <c r="B14" s="651">
        <v>84</v>
      </c>
      <c r="C14" s="429" t="s">
        <v>517</v>
      </c>
      <c r="D14" s="428" t="s">
        <v>239</v>
      </c>
      <c r="E14" s="428" t="s">
        <v>1048</v>
      </c>
      <c r="F14" s="433"/>
      <c r="G14" s="474" t="s">
        <v>239</v>
      </c>
      <c r="H14" s="475" t="s">
        <v>251</v>
      </c>
      <c r="I14" s="475"/>
      <c r="J14" s="545"/>
      <c r="K14" s="477" t="str">
        <f>VLOOKUP(B14,'radky_R'!A:O,15,0)</f>
        <v>Ažio a kapitálové fondy      (ř. 85 + 86)</v>
      </c>
      <c r="L14" s="478">
        <f>IF($L$4="f",B14,IF($L$4="z",IF(OR(M14&lt;&gt;0,N14&lt;&gt;0),B14,"-"),IF($L$4="m",IF(OR(M14&lt;&gt;0,N14&lt;&gt;0),MAX(L$8:L13)+1,"-"),"-")))</f>
        <v>84</v>
      </c>
      <c r="M14" s="79">
        <f>IF($E14="calc",ROUND(-SUMIFS(DATA!$Y:$Y,DATA!$C:$C,INDEX!$D$11,DATA!$N:$N,$C14,DATA!$S:$S,$B14),0)+P14,SUMIFS(M:M,$D:$D,$E14))</f>
        <v>0</v>
      </c>
      <c r="N14" s="88">
        <f>IF($E14="calc",ROUND(-SUMIFS(DATA!$Y:$Y,DATA!$C:$C,INDEX!$E$11,DATA!$N:$N,$C14,DATA!$S:$S,$B14),0)+Q14,SUMIFS(N:N,$D:$D,$E14))</f>
        <v>0</v>
      </c>
      <c r="O14" s="11"/>
      <c r="P14" s="731"/>
      <c r="Q14" s="732"/>
    </row>
    <row r="15" spans="1:17" ht="25.8" x14ac:dyDescent="0.3">
      <c r="A15" s="428">
        <v>-1</v>
      </c>
      <c r="B15" s="651">
        <v>85</v>
      </c>
      <c r="C15" s="429" t="s">
        <v>517</v>
      </c>
      <c r="D15" s="428" t="s">
        <v>1048</v>
      </c>
      <c r="E15" s="428" t="s">
        <v>1006</v>
      </c>
      <c r="F15" s="433"/>
      <c r="G15" s="556" t="s">
        <v>239</v>
      </c>
      <c r="H15" s="557" t="s">
        <v>251</v>
      </c>
      <c r="I15" s="547" t="s">
        <v>242</v>
      </c>
      <c r="J15" s="548"/>
      <c r="K15" s="497" t="str">
        <f>VLOOKUP(B15,'radky_R'!A:O,15,0)</f>
        <v>Ážio</v>
      </c>
      <c r="L15" s="498">
        <f>IF($L$4="f",B15,IF($L$4="z",IF(OR(M15&lt;&gt;0,N15&lt;&gt;0),B15,"-"),IF($L$4="m",IF(OR(M15&lt;&gt;0,N15&lt;&gt;0),MAX(L$8:L14)+1,"-"),"-")))</f>
        <v>85</v>
      </c>
      <c r="M15" s="93">
        <f>IF($E15="calc",ROUND(-SUMIFS(DATA!$Y:$Y,DATA!$C:$C,INDEX!$D$11,DATA!$N:$N,$C15,DATA!$S:$S,$B15),0)+P15,SUMIFS(M:M,$D:$D,$E15))</f>
        <v>0</v>
      </c>
      <c r="N15" s="94">
        <f>IF($E15="calc",ROUND(-SUMIFS(DATA!$Y:$Y,DATA!$C:$C,INDEX!$E$11,DATA!$N:$N,$C15,DATA!$S:$S,$B15),0)+Q15,SUMIFS(N:N,$D:$D,$E15))</f>
        <v>0</v>
      </c>
      <c r="O15" s="11"/>
      <c r="P15" s="753"/>
      <c r="Q15" s="754"/>
    </row>
    <row r="16" spans="1:17" ht="25.8" x14ac:dyDescent="0.3">
      <c r="A16" s="428">
        <v>-1</v>
      </c>
      <c r="B16" s="651">
        <v>86</v>
      </c>
      <c r="C16" s="429" t="s">
        <v>517</v>
      </c>
      <c r="D16" s="428" t="s">
        <v>1048</v>
      </c>
      <c r="E16" s="428" t="s">
        <v>1049</v>
      </c>
      <c r="F16" s="433"/>
      <c r="G16" s="558" t="s">
        <v>239</v>
      </c>
      <c r="H16" s="559" t="s">
        <v>251</v>
      </c>
      <c r="I16" s="560" t="s">
        <v>243</v>
      </c>
      <c r="J16" s="561"/>
      <c r="K16" s="485" t="str">
        <f>VLOOKUP(B16,'radky_R'!A:O,15,0)</f>
        <v>Kapitálové fondy</v>
      </c>
      <c r="L16" s="516">
        <f>IF($L$4="f",B16,IF($L$4="z",IF(OR(M16&lt;&gt;0,N16&lt;&gt;0),B16,"-"),IF($L$4="m",IF(OR(M16&lt;&gt;0,N16&lt;&gt;0),MAX(L$8:L15)+1,"-"),"-")))</f>
        <v>86</v>
      </c>
      <c r="M16" s="99">
        <f>IF($E16="calc",ROUND(-SUMIFS(DATA!$Y:$Y,DATA!$C:$C,INDEX!$D$11,DATA!$N:$N,$C16,DATA!$S:$S,$B16),0)+P16,SUMIFS(M:M,$D:$D,$E16))</f>
        <v>0</v>
      </c>
      <c r="N16" s="100">
        <f>IF($E16="calc",ROUND(-SUMIFS(DATA!$Y:$Y,DATA!$C:$C,INDEX!$E$11,DATA!$N:$N,$C16,DATA!$S:$S,$B16),0)+Q16,SUMIFS(N:N,$D:$D,$E16))</f>
        <v>0</v>
      </c>
      <c r="O16" s="11"/>
      <c r="P16" s="731"/>
      <c r="Q16" s="732"/>
    </row>
    <row r="17" spans="1:17" s="367" customFormat="1" ht="25.8" x14ac:dyDescent="0.3">
      <c r="A17" s="434">
        <v>-1</v>
      </c>
      <c r="B17" s="652">
        <v>87</v>
      </c>
      <c r="C17" s="435" t="s">
        <v>517</v>
      </c>
      <c r="D17" s="428" t="s">
        <v>1049</v>
      </c>
      <c r="E17" s="434" t="s">
        <v>1006</v>
      </c>
      <c r="F17" s="436"/>
      <c r="G17" s="562"/>
      <c r="H17" s="563"/>
      <c r="I17" s="564"/>
      <c r="J17" s="564" t="s">
        <v>242</v>
      </c>
      <c r="K17" s="565" t="str">
        <f>VLOOKUP(B17,'radky_R'!A:O,15,0)</f>
        <v>Ostatní kapitálové fondy</v>
      </c>
      <c r="L17" s="517">
        <f>IF($L$4="f",B17,IF($L$4="z",IF(OR(M17&lt;&gt;0,N17&lt;&gt;0),B17,"-"),IF($L$4="m",IF(OR(M17&lt;&gt;0,N17&lt;&gt;0),MAX(L$8:L16)+1,"-"),"-")))</f>
        <v>87</v>
      </c>
      <c r="M17" s="442">
        <f>IF($E17="calc",ROUND(-SUMIFS(DATA!$Y:$Y,DATA!$C:$C,INDEX!$D$11,DATA!$N:$N,$C17,DATA!$S:$S,$B17),0)+P17,SUMIFS(M:M,$D:$D,$E17))</f>
        <v>0</v>
      </c>
      <c r="N17" s="443">
        <f>IF($E17="calc",ROUND(-SUMIFS(DATA!$Y:$Y,DATA!$C:$C,INDEX!$E$11,DATA!$N:$N,$C17,DATA!$S:$S,$B17),0)+Q17,SUMIFS(N:N,$D:$D,$E17))</f>
        <v>0</v>
      </c>
      <c r="P17" s="741"/>
      <c r="Q17" s="742"/>
    </row>
    <row r="18" spans="1:17" s="367" customFormat="1" ht="25.8" x14ac:dyDescent="0.3">
      <c r="A18" s="434">
        <v>-1</v>
      </c>
      <c r="B18" s="652">
        <v>88</v>
      </c>
      <c r="C18" s="435" t="s">
        <v>517</v>
      </c>
      <c r="D18" s="428" t="s">
        <v>1049</v>
      </c>
      <c r="E18" s="434" t="s">
        <v>1006</v>
      </c>
      <c r="F18" s="436"/>
      <c r="G18" s="500"/>
      <c r="H18" s="563"/>
      <c r="I18" s="490"/>
      <c r="J18" s="490" t="s">
        <v>243</v>
      </c>
      <c r="K18" s="565" t="str">
        <f>VLOOKUP(B18,'radky_R'!A:O,15,0)</f>
        <v>Oceňovací rozdíly z přecenění majetku a závazků (+/-)</v>
      </c>
      <c r="L18" s="517">
        <f>IF($L$4="f",B18,IF($L$4="z",IF(OR(M18&lt;&gt;0,N18&lt;&gt;0),B18,"-"),IF($L$4="m",IF(OR(M18&lt;&gt;0,N18&lt;&gt;0),MAX(L$8:L17)+1,"-"),"-")))</f>
        <v>88</v>
      </c>
      <c r="M18" s="442">
        <f>IF($E18="calc",ROUND(-SUMIFS(DATA!$Y:$Y,DATA!$C:$C,INDEX!$D$11,DATA!$N:$N,$C18,DATA!$S:$S,$B18),0)+P18,SUMIFS(M:M,$D:$D,$E18))</f>
        <v>0</v>
      </c>
      <c r="N18" s="443">
        <f>IF($E18="calc",ROUND(-SUMIFS(DATA!$Y:$Y,DATA!$C:$C,INDEX!$E$11,DATA!$N:$N,$C18,DATA!$S:$S,$B18),0)+Q18,SUMIFS(N:N,$D:$D,$E18))</f>
        <v>0</v>
      </c>
      <c r="P18" s="743"/>
      <c r="Q18" s="744"/>
    </row>
    <row r="19" spans="1:17" s="367" customFormat="1" ht="25.8" x14ac:dyDescent="0.3">
      <c r="A19" s="434">
        <v>-1</v>
      </c>
      <c r="B19" s="652">
        <v>89</v>
      </c>
      <c r="C19" s="435" t="s">
        <v>517</v>
      </c>
      <c r="D19" s="428" t="s">
        <v>1049</v>
      </c>
      <c r="E19" s="434" t="s">
        <v>1006</v>
      </c>
      <c r="F19" s="436"/>
      <c r="G19" s="566"/>
      <c r="H19" s="567"/>
      <c r="I19" s="564"/>
      <c r="J19" s="564" t="s">
        <v>244</v>
      </c>
      <c r="K19" s="568" t="str">
        <f>VLOOKUP(B19,'radky_R'!A:O,15,0)</f>
        <v>Oceň. rozdíly z přecenění při přeměnách obch. korporací (+/-)</v>
      </c>
      <c r="L19" s="517">
        <f>IF($L$4="f",B19,IF($L$4="z",IF(OR(M19&lt;&gt;0,N19&lt;&gt;0),B19,"-"),IF($L$4="m",IF(OR(M19&lt;&gt;0,N19&lt;&gt;0),MAX(L$8:L18)+1,"-"),"-")))</f>
        <v>89</v>
      </c>
      <c r="M19" s="438">
        <f>IF($E19="calc",ROUND(-SUMIFS(DATA!$Y:$Y,DATA!$C:$C,INDEX!$D$11,DATA!$N:$N,$C19,DATA!$S:$S,$B19),0)+P19,SUMIFS(M:M,$D:$D,$E19))</f>
        <v>0</v>
      </c>
      <c r="N19" s="439">
        <f>IF($E19="calc",ROUND(-SUMIFS(DATA!$Y:$Y,DATA!$C:$C,INDEX!$E$11,DATA!$N:$N,$C19,DATA!$S:$S,$B19),0)+Q19,SUMIFS(N:N,$D:$D,$E19))</f>
        <v>0</v>
      </c>
      <c r="P19" s="743"/>
      <c r="Q19" s="744"/>
    </row>
    <row r="20" spans="1:17" s="367" customFormat="1" ht="25.8" x14ac:dyDescent="0.3">
      <c r="A20" s="434">
        <v>-1</v>
      </c>
      <c r="B20" s="652">
        <v>90</v>
      </c>
      <c r="C20" s="435" t="s">
        <v>517</v>
      </c>
      <c r="D20" s="428" t="s">
        <v>1049</v>
      </c>
      <c r="E20" s="434" t="s">
        <v>1006</v>
      </c>
      <c r="F20" s="436"/>
      <c r="G20" s="566"/>
      <c r="H20" s="563"/>
      <c r="I20" s="564"/>
      <c r="J20" s="564" t="s">
        <v>245</v>
      </c>
      <c r="K20" s="568" t="str">
        <f>VLOOKUP(B20,'radky_R'!A:O,15,0)</f>
        <v>Rozdíly z přeměn obchodních korporací (+/-)</v>
      </c>
      <c r="L20" s="569">
        <f>IF($L$4="f",B20,IF($L$4="z",IF(OR(M20&lt;&gt;0,N20&lt;&gt;0),B20,"-"),IF($L$4="m",IF(OR(M20&lt;&gt;0,N20&lt;&gt;0),MAX(L$8:L19)+1,"-"),"-")))</f>
        <v>90</v>
      </c>
      <c r="M20" s="438">
        <f>IF($E20="calc",ROUND(-SUMIFS(DATA!$Y:$Y,DATA!$C:$C,INDEX!$D$11,DATA!$N:$N,$C20,DATA!$S:$S,$B20),0)+P20,SUMIFS(M:M,$D:$D,$E20))</f>
        <v>0</v>
      </c>
      <c r="N20" s="439">
        <f>IF($E20="calc",ROUND(-SUMIFS(DATA!$Y:$Y,DATA!$C:$C,INDEX!$E$11,DATA!$N:$N,$C20,DATA!$S:$S,$B20),0)+Q20,SUMIFS(N:N,$D:$D,$E20))</f>
        <v>0</v>
      </c>
      <c r="P20" s="743"/>
      <c r="Q20" s="744"/>
    </row>
    <row r="21" spans="1:17" s="367" customFormat="1" ht="25.8" x14ac:dyDescent="0.3">
      <c r="A21" s="434">
        <v>-1</v>
      </c>
      <c r="B21" s="652">
        <v>91</v>
      </c>
      <c r="C21" s="435" t="s">
        <v>517</v>
      </c>
      <c r="D21" s="428" t="s">
        <v>1049</v>
      </c>
      <c r="E21" s="434" t="s">
        <v>1006</v>
      </c>
      <c r="F21" s="436"/>
      <c r="G21" s="570"/>
      <c r="H21" s="564"/>
      <c r="I21" s="564"/>
      <c r="J21" s="564" t="s">
        <v>246</v>
      </c>
      <c r="K21" s="571" t="str">
        <f>VLOOKUP(B21,'radky_R'!A:O,15,0)</f>
        <v>Rozdíly z ocenění při přeměnách obchodních korporací (+/-)</v>
      </c>
      <c r="L21" s="572">
        <f>IF($L$4="f",B21,IF($L$4="z",IF(OR(M21&lt;&gt;0,N21&lt;&gt;0),B21,"-"),IF($L$4="m",IF(OR(M21&lt;&gt;0,N21&lt;&gt;0),MAX(L$8:L20)+1,"-"),"-")))</f>
        <v>91</v>
      </c>
      <c r="M21" s="440">
        <f>IF($E21="calc",ROUND(-SUMIFS(DATA!$Y:$Y,DATA!$C:$C,INDEX!$D$11,DATA!$N:$N,$C21,DATA!$S:$S,$B21),0)+P21,SUMIFS(M:M,$D:$D,$E21))</f>
        <v>0</v>
      </c>
      <c r="N21" s="441">
        <f>IF($E21="calc",ROUND(-SUMIFS(DATA!$Y:$Y,DATA!$C:$C,INDEX!$E$11,DATA!$N:$N,$C21,DATA!$S:$S,$B21),0)+Q21,SUMIFS(N:N,$D:$D,$E21))</f>
        <v>0</v>
      </c>
      <c r="P21" s="757"/>
      <c r="Q21" s="758"/>
    </row>
    <row r="22" spans="1:17" ht="25.8" x14ac:dyDescent="0.3">
      <c r="A22" s="428">
        <v>-1</v>
      </c>
      <c r="B22" s="651">
        <v>92</v>
      </c>
      <c r="C22" s="429" t="s">
        <v>517</v>
      </c>
      <c r="D22" s="428" t="s">
        <v>239</v>
      </c>
      <c r="E22" s="428" t="s">
        <v>1050</v>
      </c>
      <c r="F22" s="433"/>
      <c r="G22" s="474" t="s">
        <v>239</v>
      </c>
      <c r="H22" s="475" t="s">
        <v>256</v>
      </c>
      <c r="I22" s="475"/>
      <c r="J22" s="545"/>
      <c r="K22" s="477" t="str">
        <f>VLOOKUP(B22,'radky_R'!A:O,15,0)</f>
        <v>Fondy ze zisku      (ř. 93 + 94)</v>
      </c>
      <c r="L22" s="478">
        <f>IF($L$4="f",B22,IF($L$4="z",IF(OR(M22&lt;&gt;0,N22&lt;&gt;0),B22,"-"),IF($L$4="m",IF(OR(M22&lt;&gt;0,N22&lt;&gt;0),MAX(L$8:L21)+1,"-"),"-")))</f>
        <v>92</v>
      </c>
      <c r="M22" s="79">
        <f>IF($E22="calc",ROUND(-SUMIFS(DATA!$Y:$Y,DATA!$C:$C,INDEX!$D$11,DATA!$N:$N,$C22,DATA!$S:$S,$B22),0)+P22,SUMIFS(M:M,$D:$D,$E22))</f>
        <v>0</v>
      </c>
      <c r="N22" s="88">
        <f>IF($E22="calc",ROUND(-SUMIFS(DATA!$Y:$Y,DATA!$C:$C,INDEX!$E$11,DATA!$N:$N,$C22,DATA!$S:$S,$B22),0)+Q22,SUMIFS(N:N,$D:$D,$E22))</f>
        <v>0</v>
      </c>
      <c r="O22" s="11"/>
      <c r="P22" s="731"/>
      <c r="Q22" s="732"/>
    </row>
    <row r="23" spans="1:17" ht="25.8" x14ac:dyDescent="0.3">
      <c r="A23" s="428">
        <v>-1</v>
      </c>
      <c r="B23" s="651">
        <v>93</v>
      </c>
      <c r="C23" s="429" t="s">
        <v>517</v>
      </c>
      <c r="D23" s="428" t="s">
        <v>1050</v>
      </c>
      <c r="E23" s="428" t="s">
        <v>1006</v>
      </c>
      <c r="F23" s="433"/>
      <c r="G23" s="546" t="s">
        <v>239</v>
      </c>
      <c r="H23" s="547" t="s">
        <v>256</v>
      </c>
      <c r="I23" s="547" t="s">
        <v>242</v>
      </c>
      <c r="J23" s="548"/>
      <c r="K23" s="551" t="str">
        <f>VLOOKUP(B23,'radky_R'!A:O,15,0)</f>
        <v>Ostatní rezervní fondy</v>
      </c>
      <c r="L23" s="573">
        <f>IF($L$4="f",B23,IF($L$4="z",IF(OR(M23&lt;&gt;0,N23&lt;&gt;0),B23,"-"),IF($L$4="m",IF(OR(M23&lt;&gt;0,N23&lt;&gt;0),MAX(L$8:L22)+1,"-"),"-")))</f>
        <v>93</v>
      </c>
      <c r="M23" s="84">
        <f>IF($E23="calc",ROUND(-SUMIFS(DATA!$Y:$Y,DATA!$C:$C,INDEX!$D$11,DATA!$N:$N,$C23,DATA!$S:$S,$B23),0)+P23,SUMIFS(M:M,$D:$D,$E23))</f>
        <v>0</v>
      </c>
      <c r="N23" s="85">
        <f>IF($E23="calc",ROUND(-SUMIFS(DATA!$Y:$Y,DATA!$C:$C,INDEX!$E$11,DATA!$N:$N,$C23,DATA!$S:$S,$B23),0)+Q23,SUMIFS(N:N,$D:$D,$E23))</f>
        <v>0</v>
      </c>
      <c r="O23" s="11"/>
      <c r="P23" s="737"/>
      <c r="Q23" s="738"/>
    </row>
    <row r="24" spans="1:17" ht="25.8" x14ac:dyDescent="0.3">
      <c r="A24" s="428">
        <v>-1</v>
      </c>
      <c r="B24" s="651">
        <v>94</v>
      </c>
      <c r="C24" s="429" t="s">
        <v>517</v>
      </c>
      <c r="D24" s="428" t="s">
        <v>1050</v>
      </c>
      <c r="E24" s="428" t="s">
        <v>1006</v>
      </c>
      <c r="F24" s="433"/>
      <c r="G24" s="546" t="s">
        <v>239</v>
      </c>
      <c r="H24" s="547" t="s">
        <v>256</v>
      </c>
      <c r="I24" s="547" t="s">
        <v>243</v>
      </c>
      <c r="J24" s="548"/>
      <c r="K24" s="551" t="str">
        <f>VLOOKUP(B24,'radky_R'!A:O,15,0)</f>
        <v>Statutární a ostatní fondy</v>
      </c>
      <c r="L24" s="573">
        <f>IF($L$4="f",B24,IF($L$4="z",IF(OR(M24&lt;&gt;0,N24&lt;&gt;0),B24,"-"),IF($L$4="m",IF(OR(M24&lt;&gt;0,N24&lt;&gt;0),MAX(L$8:L23)+1,"-"),"-")))</f>
        <v>94</v>
      </c>
      <c r="M24" s="84">
        <f>IF($E24="calc",ROUND(-SUMIFS(DATA!$Y:$Y,DATA!$C:$C,INDEX!$D$11,DATA!$N:$N,$C24,DATA!$S:$S,$B24),0)+P24,SUMIFS(M:M,$D:$D,$E24))</f>
        <v>0</v>
      </c>
      <c r="N24" s="85">
        <f>IF($E24="calc",ROUND(-SUMIFS(DATA!$Y:$Y,DATA!$C:$C,INDEX!$E$11,DATA!$N:$N,$C24,DATA!$S:$S,$B24),0)+Q24,SUMIFS(N:N,$D:$D,$E24))</f>
        <v>0</v>
      </c>
      <c r="O24" s="11"/>
      <c r="P24" s="745"/>
      <c r="Q24" s="746"/>
    </row>
    <row r="25" spans="1:17" ht="25.8" x14ac:dyDescent="0.3">
      <c r="A25" s="428">
        <v>-1</v>
      </c>
      <c r="B25" s="651">
        <v>95</v>
      </c>
      <c r="C25" s="429" t="s">
        <v>517</v>
      </c>
      <c r="D25" s="428" t="s">
        <v>239</v>
      </c>
      <c r="E25" s="428" t="s">
        <v>1051</v>
      </c>
      <c r="F25" s="433"/>
      <c r="G25" s="474" t="s">
        <v>239</v>
      </c>
      <c r="H25" s="475" t="s">
        <v>273</v>
      </c>
      <c r="I25" s="475"/>
      <c r="J25" s="545"/>
      <c r="K25" s="477" t="str">
        <f>VLOOKUP(B25,'radky_R'!A:O,15,0)</f>
        <v>Výsledek hospodaření minulých let (+/-)      (ř. 96 + 97)</v>
      </c>
      <c r="L25" s="478">
        <f>IF($L$4="f",B25,IF($L$4="z",IF(OR(M25&lt;&gt;0,N25&lt;&gt;0),B25,"-"),IF($L$4="m",IF(OR(M25&lt;&gt;0,N25&lt;&gt;0),MAX(L$8:L24)+1,"-"),"-")))</f>
        <v>95</v>
      </c>
      <c r="M25" s="79">
        <f>IF($E25="calc",ROUND(-SUMIFS(DATA!$Y:$Y,DATA!$C:$C,INDEX!$D$11,DATA!$N:$N,$C25,DATA!$S:$S,$B25),0)+P25,SUMIFS(M:M,$D:$D,$E25))</f>
        <v>0</v>
      </c>
      <c r="N25" s="88">
        <f>IF($E25="calc",ROUND(-SUMIFS(DATA!$Y:$Y,DATA!$C:$C,INDEX!$E$11,DATA!$N:$N,$C25,DATA!$S:$S,$B25),0)+Q25,SUMIFS(N:N,$D:$D,$E25))</f>
        <v>0</v>
      </c>
      <c r="O25" s="11"/>
      <c r="P25" s="731"/>
      <c r="Q25" s="732"/>
    </row>
    <row r="26" spans="1:17" ht="25.8" x14ac:dyDescent="0.3">
      <c r="A26" s="428">
        <v>-1</v>
      </c>
      <c r="B26" s="651">
        <v>96</v>
      </c>
      <c r="C26" s="429" t="s">
        <v>517</v>
      </c>
      <c r="D26" s="428" t="s">
        <v>1051</v>
      </c>
      <c r="E26" s="428" t="s">
        <v>1006</v>
      </c>
      <c r="F26" s="433"/>
      <c r="G26" s="546" t="s">
        <v>239</v>
      </c>
      <c r="H26" s="547" t="s">
        <v>273</v>
      </c>
      <c r="I26" s="547" t="s">
        <v>242</v>
      </c>
      <c r="J26" s="548"/>
      <c r="K26" s="551" t="str">
        <f>VLOOKUP(B26,'radky_R'!A:O,15,0)</f>
        <v>Nerozdělený zisk nebo neuhrazená ztráta minulých let (+/-)</v>
      </c>
      <c r="L26" s="573">
        <f>IF($L$4="f",B26,IF($L$4="z",IF(OR(M26&lt;&gt;0,N26&lt;&gt;0),B26,"-"),IF($L$4="m",IF(OR(M26&lt;&gt;0,N26&lt;&gt;0),MAX(L$8:L25)+1,"-"),"-")))</f>
        <v>96</v>
      </c>
      <c r="M26" s="84">
        <f>IF($E26="calc",ROUND(-SUMIFS(DATA!$Y:$Y,DATA!$C:$C,INDEX!$D$11,DATA!$N:$N,$C26,DATA!$S:$S,$B26),0)+P26,SUMIFS(M:M,$D:$D,$E26))</f>
        <v>0</v>
      </c>
      <c r="N26" s="85">
        <f>IF($E26="calc",ROUND(-SUMIFS(DATA!$Y:$Y,DATA!$C:$C,INDEX!$E$11,DATA!$N:$N,$C26,DATA!$S:$S,$B26),0)+Q26,SUMIFS(N:N,$D:$D,$E26))</f>
        <v>0</v>
      </c>
      <c r="O26" s="784" t="s">
        <v>620</v>
      </c>
      <c r="P26" s="737"/>
      <c r="Q26" s="738"/>
    </row>
    <row r="27" spans="1:17" ht="26.25" customHeight="1" x14ac:dyDescent="0.3">
      <c r="A27" s="428">
        <v>-1</v>
      </c>
      <c r="B27" s="651">
        <v>97</v>
      </c>
      <c r="C27" s="429" t="s">
        <v>517</v>
      </c>
      <c r="D27" s="428" t="s">
        <v>1051</v>
      </c>
      <c r="E27" s="428" t="s">
        <v>1006</v>
      </c>
      <c r="F27" s="433"/>
      <c r="G27" s="546" t="s">
        <v>239</v>
      </c>
      <c r="H27" s="547" t="s">
        <v>273</v>
      </c>
      <c r="I27" s="547" t="s">
        <v>243</v>
      </c>
      <c r="J27" s="548"/>
      <c r="K27" s="551" t="str">
        <f>VLOOKUP(B27,'radky_R'!A:O,15,0)</f>
        <v>Jiný výsledek hospodaření minulých let (+/-)</v>
      </c>
      <c r="L27" s="573">
        <f>IF($L$4="f",B27,IF($L$4="z",IF(OR(M27&lt;&gt;0,N27&lt;&gt;0),B27,"-"),IF($L$4="m",IF(OR(M27&lt;&gt;0,N27&lt;&gt;0),MAX(L$8:L26)+1,"-"),"-")))</f>
        <v>97</v>
      </c>
      <c r="M27" s="84">
        <f>IF($E27="calc",ROUND(-SUMIFS(DATA!$Y:$Y,DATA!$C:$C,INDEX!$D$11,DATA!$N:$N,$C27,DATA!$S:$S,$B27),0)+P27,SUMIFS(M:M,$D:$D,$E27))</f>
        <v>0</v>
      </c>
      <c r="N27" s="85">
        <f>IF($E27="calc",ROUND(-SUMIFS(DATA!$Y:$Y,DATA!$C:$C,INDEX!$E$11,DATA!$N:$N,$C27,DATA!$S:$S,$B27),0)+Q27,SUMIFS(N:N,$D:$D,$E27))</f>
        <v>0</v>
      </c>
      <c r="O27" s="784"/>
      <c r="P27" s="745"/>
      <c r="Q27" s="746"/>
    </row>
    <row r="28" spans="1:17" ht="25.8" x14ac:dyDescent="0.3">
      <c r="A28" s="428">
        <v>-1</v>
      </c>
      <c r="B28" s="651">
        <v>98</v>
      </c>
      <c r="C28" s="429" t="s">
        <v>517</v>
      </c>
      <c r="D28" s="428" t="s">
        <v>239</v>
      </c>
      <c r="E28" s="437" t="s">
        <v>1052</v>
      </c>
      <c r="F28" s="433"/>
      <c r="G28" s="474" t="s">
        <v>239</v>
      </c>
      <c r="H28" s="475" t="s">
        <v>281</v>
      </c>
      <c r="I28" s="475"/>
      <c r="J28" s="545"/>
      <c r="K28" s="477" t="str">
        <f>VLOOKUP(B28,'radky_R'!A:O,15,0)</f>
        <v>Výsledek hospodaření běžného účetního období (+/-)</v>
      </c>
      <c r="L28" s="478">
        <f>IF($L$4="f",B28,IF($L$4="z",IF(OR(M28&lt;&gt;0,N28&lt;&gt;0),B28,"-"),IF($L$4="m",IF(OR(M28&lt;&gt;0,N28&lt;&gt;0),MAX(L$8:L27)+1,"-"),"-")))</f>
        <v>98</v>
      </c>
      <c r="M28" s="79">
        <f>VYSLEDOVKA!M62</f>
        <v>0</v>
      </c>
      <c r="N28" s="88">
        <f>VYSLEDOVKA!N62</f>
        <v>0</v>
      </c>
      <c r="O28" s="784"/>
      <c r="P28" s="735"/>
      <c r="Q28" s="736"/>
    </row>
    <row r="29" spans="1:17" ht="26.4" thickBot="1" x14ac:dyDescent="0.35">
      <c r="A29" s="428">
        <v>-1</v>
      </c>
      <c r="B29" s="651">
        <v>99</v>
      </c>
      <c r="C29" s="429" t="s">
        <v>517</v>
      </c>
      <c r="D29" s="428" t="s">
        <v>239</v>
      </c>
      <c r="E29" s="428" t="s">
        <v>1006</v>
      </c>
      <c r="F29" s="433"/>
      <c r="G29" s="574" t="s">
        <v>239</v>
      </c>
      <c r="H29" s="575" t="s">
        <v>327</v>
      </c>
      <c r="I29" s="575"/>
      <c r="J29" s="576"/>
      <c r="K29" s="577" t="str">
        <f>VLOOKUP(B29,'radky_R'!A:O,15,0)</f>
        <v>Rozhodnuto o zálohové výplatě podílu na zisku</v>
      </c>
      <c r="L29" s="578">
        <f>IF($L$4="f",B29,IF($L$4="z",IF(OR(M29&lt;&gt;0,N29&lt;&gt;0),B29,"-"),IF($L$4="m",IF(OR(M29&lt;&gt;0,N29&lt;&gt;0),MAX(L$8:L28)+1,"-"),"-")))</f>
        <v>99</v>
      </c>
      <c r="M29" s="388">
        <f>IF($E29="calc",ROUND(-SUMIFS(DATA!$Y:$Y,DATA!$C:$C,INDEX!$D$11,DATA!$N:$N,$C29,DATA!$S:$S,$B29),0)+P29,SUMIFS(M:M,$D:$D,$E29))</f>
        <v>0</v>
      </c>
      <c r="N29" s="389">
        <f>IF($E29="calc",ROUND(-SUMIFS(DATA!$Y:$Y,DATA!$C:$C,INDEX!$E$11,DATA!$N:$N,$C29,DATA!$S:$S,$B29),0)+Q29,SUMIFS(N:N,$D:$D,$E29))</f>
        <v>0</v>
      </c>
      <c r="O29" s="784"/>
      <c r="P29" s="721"/>
      <c r="Q29" s="722"/>
    </row>
    <row r="30" spans="1:17" ht="26.4" thickBot="1" x14ac:dyDescent="0.35">
      <c r="A30" s="428">
        <v>-1</v>
      </c>
      <c r="B30" s="651">
        <v>100</v>
      </c>
      <c r="C30" s="429" t="s">
        <v>517</v>
      </c>
      <c r="D30" s="428" t="s">
        <v>1047</v>
      </c>
      <c r="E30" s="428" t="s">
        <v>1053</v>
      </c>
      <c r="F30" s="433"/>
      <c r="G30" s="579" t="s">
        <v>240</v>
      </c>
      <c r="H30" s="580" t="s">
        <v>310</v>
      </c>
      <c r="I30" s="580" t="s">
        <v>265</v>
      </c>
      <c r="J30" s="581"/>
      <c r="K30" s="462" t="str">
        <f>VLOOKUP(B30,'radky_R'!A:O,15,0)</f>
        <v>Cizí zdroje      (ř. 101 + 106)</v>
      </c>
      <c r="L30" s="463">
        <f>IF($L$4="f",B30,IF($L$4="z",IF(OR(M30&lt;&gt;0,N30&lt;&gt;0),B30,"-"),IF($L$4="m",IF(OR(M30&lt;&gt;0,N30&lt;&gt;0),MAX(L$8:L29)+1,"-"),"-")))</f>
        <v>100</v>
      </c>
      <c r="M30" s="384">
        <f>IF($E30="calc",ROUND(-SUMIFS(DATA!$Y:$Y,DATA!$C:$C,INDEX!$D$11,DATA!$N:$N,$C30,DATA!$S:$S,$B30),0)+P30,SUMIFS(M:M,$D:$D,$E30))</f>
        <v>0</v>
      </c>
      <c r="N30" s="385">
        <f>IF($E30="calc",ROUND(-SUMIFS(DATA!$Y:$Y,DATA!$C:$C,INDEX!$E$11,DATA!$N:$N,$C30,DATA!$S:$S,$B30),0)+Q30,SUMIFS(N:N,$D:$D,$E30))</f>
        <v>0</v>
      </c>
      <c r="O30" s="784"/>
      <c r="P30" s="721"/>
      <c r="Q30" s="722"/>
    </row>
    <row r="31" spans="1:17" ht="25.8" x14ac:dyDescent="0.3">
      <c r="A31" s="428">
        <v>-1</v>
      </c>
      <c r="B31" s="651">
        <v>101</v>
      </c>
      <c r="C31" s="429" t="s">
        <v>517</v>
      </c>
      <c r="D31" s="428" t="s">
        <v>1053</v>
      </c>
      <c r="E31" s="428" t="s">
        <v>240</v>
      </c>
      <c r="F31" s="433"/>
      <c r="G31" s="469" t="s">
        <v>240</v>
      </c>
      <c r="H31" s="582"/>
      <c r="I31" s="582"/>
      <c r="J31" s="583"/>
      <c r="K31" s="472" t="str">
        <f>VLOOKUP(B31,'radky_R'!A:O,15,0)</f>
        <v>Rezervy      (ř. 102 až 105)</v>
      </c>
      <c r="L31" s="473">
        <f>IF($L$4="f",B31,IF($L$4="z",IF(OR(M31&lt;&gt;0,N31&lt;&gt;0),B31,"-"),IF($L$4="m",IF(OR(M31&lt;&gt;0,N31&lt;&gt;0),MAX(L$8:L30)+1,"-"),"-")))</f>
        <v>101</v>
      </c>
      <c r="M31" s="386">
        <f>IF($E31="calc",ROUND(-SUMIFS(DATA!$Y:$Y,DATA!$C:$C,INDEX!$D$11,DATA!$N:$N,$C31,DATA!$S:$S,$B31),0)+P31,SUMIFS(M:M,$D:$D,$E31))</f>
        <v>0</v>
      </c>
      <c r="N31" s="387">
        <f>IF($E31="calc",ROUND(-SUMIFS(DATA!$Y:$Y,DATA!$C:$C,INDEX!$E$11,DATA!$N:$N,$C31,DATA!$S:$S,$B31),0)+Q31,SUMIFS(N:N,$D:$D,$E31))</f>
        <v>0</v>
      </c>
      <c r="O31" s="11"/>
      <c r="P31" s="729"/>
      <c r="Q31" s="730"/>
    </row>
    <row r="32" spans="1:17" ht="25.8" x14ac:dyDescent="0.3">
      <c r="A32" s="428">
        <v>-1</v>
      </c>
      <c r="B32" s="651">
        <v>102</v>
      </c>
      <c r="C32" s="429" t="s">
        <v>517</v>
      </c>
      <c r="D32" s="428" t="s">
        <v>240</v>
      </c>
      <c r="E32" s="428" t="s">
        <v>1006</v>
      </c>
      <c r="F32" s="433"/>
      <c r="G32" s="546" t="s">
        <v>240</v>
      </c>
      <c r="H32" s="547" t="s">
        <v>242</v>
      </c>
      <c r="I32" s="547"/>
      <c r="J32" s="548"/>
      <c r="K32" s="551" t="str">
        <f>VLOOKUP(B32,'radky_R'!A:O,15,0)</f>
        <v>Rezerva na důchody a podobné závazky</v>
      </c>
      <c r="L32" s="498">
        <f>IF($L$4="f",B32,IF($L$4="z",IF(OR(M32&lt;&gt;0,N32&lt;&gt;0),B32,"-"),IF($L$4="m",IF(OR(M32&lt;&gt;0,N32&lt;&gt;0),MAX(L$8:L31)+1,"-"),"-")))</f>
        <v>102</v>
      </c>
      <c r="M32" s="84">
        <f>IF($E32="calc",ROUND(-SUMIFS(DATA!$Y:$Y,DATA!$C:$C,INDEX!$D$11,DATA!$N:$N,$C32,DATA!$S:$S,$B32),0)+P32,SUMIFS(M:M,$D:$D,$E32))</f>
        <v>0</v>
      </c>
      <c r="N32" s="85">
        <f>IF($E32="calc",ROUND(-SUMIFS(DATA!$Y:$Y,DATA!$C:$C,INDEX!$E$11,DATA!$N:$N,$C32,DATA!$S:$S,$B32),0)+Q32,SUMIFS(N:N,$D:$D,$E32))</f>
        <v>0</v>
      </c>
      <c r="O32" s="11"/>
      <c r="P32" s="755"/>
      <c r="Q32" s="756"/>
    </row>
    <row r="33" spans="1:17" ht="25.8" x14ac:dyDescent="0.3">
      <c r="A33" s="428">
        <v>-1</v>
      </c>
      <c r="B33" s="651">
        <v>103</v>
      </c>
      <c r="C33" s="429" t="s">
        <v>517</v>
      </c>
      <c r="D33" s="428" t="s">
        <v>240</v>
      </c>
      <c r="E33" s="428" t="s">
        <v>1006</v>
      </c>
      <c r="F33" s="433"/>
      <c r="G33" s="546" t="s">
        <v>240</v>
      </c>
      <c r="H33" s="547" t="s">
        <v>243</v>
      </c>
      <c r="I33" s="547"/>
      <c r="J33" s="548"/>
      <c r="K33" s="551" t="str">
        <f>VLOOKUP(B33,'radky_R'!A:O,15,0)</f>
        <v>Rezerva na daň z příjmů</v>
      </c>
      <c r="L33" s="498">
        <f>IF($L$4="f",B33,IF($L$4="z",IF(OR(M33&lt;&gt;0,N33&lt;&gt;0),B33,"-"),IF($L$4="m",IF(OR(M33&lt;&gt;0,N33&lt;&gt;0),MAX(L$8:L32)+1,"-"),"-")))</f>
        <v>103</v>
      </c>
      <c r="M33" s="84">
        <f>IF($E33="calc",ROUND(-SUMIFS(DATA!$Y:$Y,DATA!$C:$C,INDEX!$D$11,DATA!$N:$N,$C33,DATA!$S:$S,$B33),0)+P33,SUMIFS(M:M,$D:$D,$E33))</f>
        <v>0</v>
      </c>
      <c r="N33" s="85">
        <f>IF($E33="calc",ROUND(-SUMIFS(DATA!$Y:$Y,DATA!$C:$C,INDEX!$E$11,DATA!$N:$N,$C33,DATA!$S:$S,$B33),0)+Q33,SUMIFS(N:N,$D:$D,$E33))</f>
        <v>0</v>
      </c>
      <c r="O33" s="11"/>
      <c r="P33" s="719"/>
      <c r="Q33" s="720"/>
    </row>
    <row r="34" spans="1:17" ht="25.8" x14ac:dyDescent="0.3">
      <c r="A34" s="428">
        <v>-1</v>
      </c>
      <c r="B34" s="651">
        <v>104</v>
      </c>
      <c r="C34" s="429" t="s">
        <v>517</v>
      </c>
      <c r="D34" s="428" t="s">
        <v>240</v>
      </c>
      <c r="E34" s="428" t="s">
        <v>1006</v>
      </c>
      <c r="F34" s="433"/>
      <c r="G34" s="546" t="s">
        <v>240</v>
      </c>
      <c r="H34" s="547" t="s">
        <v>244</v>
      </c>
      <c r="I34" s="547"/>
      <c r="J34" s="548"/>
      <c r="K34" s="551" t="str">
        <f>VLOOKUP(B34,'radky_R'!A:O,15,0)</f>
        <v>Rezervy podle zvláštních právních předpisů</v>
      </c>
      <c r="L34" s="498">
        <f>IF($L$4="f",B34,IF($L$4="z",IF(OR(M34&lt;&gt;0,N34&lt;&gt;0),B34,"-"),IF($L$4="m",IF(OR(M34&lt;&gt;0,N34&lt;&gt;0),MAX(L$8:L33)+1,"-"),"-")))</f>
        <v>104</v>
      </c>
      <c r="M34" s="84">
        <f>IF($E34="calc",ROUND(-SUMIFS(DATA!$Y:$Y,DATA!$C:$C,INDEX!$D$11,DATA!$N:$N,$C34,DATA!$S:$S,$B34),0)+P34,SUMIFS(M:M,$D:$D,$E34))</f>
        <v>0</v>
      </c>
      <c r="N34" s="85">
        <f>IF($E34="calc",ROUND(-SUMIFS(DATA!$Y:$Y,DATA!$C:$C,INDEX!$E$11,DATA!$N:$N,$C34,DATA!$S:$S,$B34),0)+Q34,SUMIFS(N:N,$D:$D,$E34))</f>
        <v>0</v>
      </c>
      <c r="O34" s="11"/>
      <c r="P34" s="719"/>
      <c r="Q34" s="720"/>
    </row>
    <row r="35" spans="1:17" ht="26.4" thickBot="1" x14ac:dyDescent="0.35">
      <c r="A35" s="428">
        <v>-1</v>
      </c>
      <c r="B35" s="651">
        <v>105</v>
      </c>
      <c r="C35" s="429" t="s">
        <v>517</v>
      </c>
      <c r="D35" s="428" t="s">
        <v>240</v>
      </c>
      <c r="E35" s="428" t="s">
        <v>1006</v>
      </c>
      <c r="F35" s="433"/>
      <c r="G35" s="546" t="s">
        <v>240</v>
      </c>
      <c r="H35" s="547" t="s">
        <v>245</v>
      </c>
      <c r="I35" s="547"/>
      <c r="J35" s="548"/>
      <c r="K35" s="551" t="str">
        <f>VLOOKUP(B35,'radky_R'!A:O,15,0)</f>
        <v>Ostatní rezervy</v>
      </c>
      <c r="L35" s="498">
        <f>IF($L$4="f",B35,IF($L$4="z",IF(OR(M35&lt;&gt;0,N35&lt;&gt;0),B35,"-"),IF($L$4="m",IF(OR(M35&lt;&gt;0,N35&lt;&gt;0),MAX(L$8:L34)+1,"-"),"-")))</f>
        <v>105</v>
      </c>
      <c r="M35" s="84">
        <f>IF($E35="calc",ROUND(-SUMIFS(DATA!$Y:$Y,DATA!$C:$C,INDEX!$D$11,DATA!$N:$N,$C35,DATA!$S:$S,$B35),0)+P35,SUMIFS(M:M,$D:$D,$E35))</f>
        <v>0</v>
      </c>
      <c r="N35" s="85">
        <f>IF($E35="calc",ROUND(-SUMIFS(DATA!$Y:$Y,DATA!$C:$C,INDEX!$E$11,DATA!$N:$N,$C35,DATA!$S:$S,$B35),0)+Q35,SUMIFS(N:N,$D:$D,$E35))</f>
        <v>0</v>
      </c>
      <c r="O35" s="11"/>
      <c r="P35" s="745"/>
      <c r="Q35" s="746"/>
    </row>
    <row r="36" spans="1:17" ht="25.8" x14ac:dyDescent="0.3">
      <c r="A36" s="428">
        <v>-1</v>
      </c>
      <c r="B36" s="651">
        <v>106</v>
      </c>
      <c r="C36" s="429" t="s">
        <v>517</v>
      </c>
      <c r="D36" s="428" t="s">
        <v>1053</v>
      </c>
      <c r="E36" s="428" t="s">
        <v>265</v>
      </c>
      <c r="F36" s="433"/>
      <c r="G36" s="469" t="s">
        <v>265</v>
      </c>
      <c r="H36" s="582"/>
      <c r="I36" s="582"/>
      <c r="J36" s="583"/>
      <c r="K36" s="472" t="str">
        <f>VLOOKUP(B36,'radky_R'!A:O,15,0)</f>
        <v>Závazky      (ř. 107 + 122)</v>
      </c>
      <c r="L36" s="473">
        <f>IF($L$4="f",B36,IF($L$4="z",IF(OR(M36&lt;&gt;0,N36&lt;&gt;0),B36,"-"),IF($L$4="m",IF(OR(M36&lt;&gt;0,N36&lt;&gt;0),MAX(L$8:L35)+1,"-"),"-")))</f>
        <v>106</v>
      </c>
      <c r="M36" s="386">
        <f>IF($E36="calc",ROUND(-SUMIFS(DATA!$Y:$Y,DATA!$C:$C,INDEX!$D$11,DATA!$N:$N,$C36,DATA!$S:$S,$B36),0)+P36,SUMIFS(M:M,$D:$D,$E36))</f>
        <v>0</v>
      </c>
      <c r="N36" s="387">
        <f>IF($E36="calc",ROUND(-SUMIFS(DATA!$Y:$Y,DATA!$C:$C,INDEX!$E$11,DATA!$N:$N,$C36,DATA!$S:$S,$B36),0)+Q36,SUMIFS(N:N,$D:$D,$E36))</f>
        <v>0</v>
      </c>
      <c r="O36" s="11"/>
      <c r="P36" s="735"/>
      <c r="Q36" s="736"/>
    </row>
    <row r="37" spans="1:17" ht="25.8" x14ac:dyDescent="0.3">
      <c r="A37" s="428">
        <v>-1</v>
      </c>
      <c r="B37" s="651">
        <v>107</v>
      </c>
      <c r="C37" s="429" t="s">
        <v>517</v>
      </c>
      <c r="D37" s="428" t="s">
        <v>265</v>
      </c>
      <c r="E37" s="428" t="s">
        <v>1028</v>
      </c>
      <c r="F37" s="433"/>
      <c r="G37" s="474" t="s">
        <v>265</v>
      </c>
      <c r="H37" s="475" t="s">
        <v>241</v>
      </c>
      <c r="I37" s="475"/>
      <c r="J37" s="545"/>
      <c r="K37" s="477" t="str">
        <f>VLOOKUP(B37,'radky_R'!A:O,15,0)</f>
        <v>Dlouhodobé závazky      (ř. 108 + 111 až 118)</v>
      </c>
      <c r="L37" s="478">
        <f>IF($L$4="f",B37,IF($L$4="z",IF(OR(M37&lt;&gt;0,N37&lt;&gt;0),B37,"-"),IF($L$4="m",IF(OR(M37&lt;&gt;0,N37&lt;&gt;0),MAX(L$8:L36)+1,"-"),"-")))</f>
        <v>107</v>
      </c>
      <c r="M37" s="79">
        <f>IF($E37="calc",ROUND(-SUMIFS(DATA!$Y:$Y,DATA!$C:$C,INDEX!$D$11,DATA!$N:$N,$C37,DATA!$S:$S,$B37),0)+P37,SUMIFS(M:M,$D:$D,$E37))</f>
        <v>0</v>
      </c>
      <c r="N37" s="88">
        <f>IF($E37="calc",ROUND(-SUMIFS(DATA!$Y:$Y,DATA!$C:$C,INDEX!$E$11,DATA!$N:$N,$C37,DATA!$S:$S,$B37),0)+Q37,SUMIFS(N:N,$D:$D,$E37))</f>
        <v>0</v>
      </c>
      <c r="O37" s="11"/>
      <c r="P37" s="721"/>
      <c r="Q37" s="722"/>
    </row>
    <row r="38" spans="1:17" ht="25.8" x14ac:dyDescent="0.3">
      <c r="A38" s="428">
        <v>-1</v>
      </c>
      <c r="B38" s="651">
        <v>108</v>
      </c>
      <c r="C38" s="429" t="s">
        <v>517</v>
      </c>
      <c r="D38" s="428" t="s">
        <v>1028</v>
      </c>
      <c r="E38" s="428" t="s">
        <v>1054</v>
      </c>
      <c r="F38" s="433"/>
      <c r="G38" s="546" t="s">
        <v>265</v>
      </c>
      <c r="H38" s="547" t="s">
        <v>241</v>
      </c>
      <c r="I38" s="547" t="s">
        <v>242</v>
      </c>
      <c r="J38" s="548"/>
      <c r="K38" s="551" t="str">
        <f>VLOOKUP(B38,'radky_R'!A:O,15,0)</f>
        <v>Vydané dluhopisy</v>
      </c>
      <c r="L38" s="498">
        <f>IF($L$4="f",B38,IF($L$4="z",IF(OR(M38&lt;&gt;0,N38&lt;&gt;0),B38,"-"),IF($L$4="m",IF(OR(M38&lt;&gt;0,N38&lt;&gt;0),MAX(L$8:L37)+1,"-"),"-")))</f>
        <v>108</v>
      </c>
      <c r="M38" s="84">
        <f>IF($E38="calc",ROUND(-SUMIFS(DATA!$Y:$Y,DATA!$C:$C,INDEX!$D$11,DATA!$N:$N,$C38,DATA!$S:$S,$B38),0)+P38,SUMIFS(M:M,$D:$D,$E38))</f>
        <v>0</v>
      </c>
      <c r="N38" s="85">
        <f>IF($E38="calc",ROUND(-SUMIFS(DATA!$Y:$Y,DATA!$C:$C,INDEX!$E$11,DATA!$N:$N,$C38,DATA!$S:$S,$B38),0)+Q38,SUMIFS(N:N,$D:$D,$E38))</f>
        <v>0</v>
      </c>
      <c r="O38" s="11"/>
      <c r="P38" s="729"/>
      <c r="Q38" s="730"/>
    </row>
    <row r="39" spans="1:17" ht="25.8" x14ac:dyDescent="0.3">
      <c r="A39" s="434">
        <v>-1</v>
      </c>
      <c r="B39" s="652">
        <v>109</v>
      </c>
      <c r="C39" s="435" t="s">
        <v>517</v>
      </c>
      <c r="D39" s="428" t="s">
        <v>1054</v>
      </c>
      <c r="E39" s="434" t="s">
        <v>1006</v>
      </c>
      <c r="F39" s="436"/>
      <c r="G39" s="566"/>
      <c r="H39" s="563"/>
      <c r="I39" s="564"/>
      <c r="J39" s="564" t="s">
        <v>242</v>
      </c>
      <c r="K39" s="568" t="str">
        <f>VLOOKUP(B39,'radky_R'!A:O,15,0)</f>
        <v>Vyměnitelné dluhopisy</v>
      </c>
      <c r="L39" s="517">
        <f>IF($L$4="f",B39,IF($L$4="z",IF(OR(M39&lt;&gt;0,N39&lt;&gt;0),B39,"-"),IF($L$4="m",IF(OR(M39&lt;&gt;0,N39&lt;&gt;0),MAX(L$8:L38)+1,"-"),"-")))</f>
        <v>109</v>
      </c>
      <c r="M39" s="438">
        <f>IF($E39="calc",ROUND(-SUMIFS(DATA!$Y:$Y,DATA!$C:$C,INDEX!$D$11,DATA!$N:$N,$C39,DATA!$S:$S,$B39),0)+P39,SUMIFS(M:M,$D:$D,$E39))</f>
        <v>0</v>
      </c>
      <c r="N39" s="439">
        <f>IF($E39="calc",ROUND(-SUMIFS(DATA!$Y:$Y,DATA!$C:$C,INDEX!$E$11,DATA!$N:$N,$C39,DATA!$S:$S,$B39),0)+Q39,SUMIFS(N:N,$D:$D,$E39))</f>
        <v>0</v>
      </c>
      <c r="O39" s="11"/>
      <c r="P39" s="741"/>
      <c r="Q39" s="742"/>
    </row>
    <row r="40" spans="1:17" s="367" customFormat="1" ht="25.8" x14ac:dyDescent="0.3">
      <c r="A40" s="434">
        <v>-1</v>
      </c>
      <c r="B40" s="652">
        <v>110</v>
      </c>
      <c r="C40" s="435" t="s">
        <v>517</v>
      </c>
      <c r="D40" s="428" t="s">
        <v>1054</v>
      </c>
      <c r="E40" s="434" t="s">
        <v>1006</v>
      </c>
      <c r="F40" s="436"/>
      <c r="G40" s="570"/>
      <c r="H40" s="564"/>
      <c r="I40" s="564"/>
      <c r="J40" s="564" t="s">
        <v>243</v>
      </c>
      <c r="K40" s="571" t="str">
        <f>VLOOKUP(B40,'radky_R'!A:O,15,0)</f>
        <v>Ostatní dluhopisy</v>
      </c>
      <c r="L40" s="518">
        <f>IF($L$4="f",B40,IF($L$4="z",IF(OR(M40&lt;&gt;0,N40&lt;&gt;0),B40,"-"),IF($L$4="m",IF(OR(M40&lt;&gt;0,N40&lt;&gt;0),MAX(L$8:L39)+1,"-"),"-")))</f>
        <v>110</v>
      </c>
      <c r="M40" s="440">
        <f>IF($E40="calc",ROUND(-SUMIFS(DATA!$Y:$Y,DATA!$C:$C,INDEX!$D$11,DATA!$N:$N,$C40,DATA!$S:$S,$B40),0)+P40,SUMIFS(M:M,$D:$D,$E40))</f>
        <v>0</v>
      </c>
      <c r="N40" s="441">
        <f>IF($E40="calc",ROUND(-SUMIFS(DATA!$Y:$Y,DATA!$C:$C,INDEX!$E$11,DATA!$N:$N,$C40,DATA!$S:$S,$B40),0)+Q40,SUMIFS(N:N,$D:$D,$E40))</f>
        <v>0</v>
      </c>
      <c r="P40" s="743"/>
      <c r="Q40" s="744"/>
    </row>
    <row r="41" spans="1:17" s="367" customFormat="1" ht="25.8" x14ac:dyDescent="0.3">
      <c r="A41" s="428">
        <v>-1</v>
      </c>
      <c r="B41" s="651">
        <v>111</v>
      </c>
      <c r="C41" s="429" t="s">
        <v>517</v>
      </c>
      <c r="D41" s="428" t="s">
        <v>1028</v>
      </c>
      <c r="E41" s="428" t="s">
        <v>1006</v>
      </c>
      <c r="F41" s="433"/>
      <c r="G41" s="546" t="s">
        <v>265</v>
      </c>
      <c r="H41" s="547" t="s">
        <v>241</v>
      </c>
      <c r="I41" s="547" t="s">
        <v>243</v>
      </c>
      <c r="J41" s="548"/>
      <c r="K41" s="551" t="str">
        <f>VLOOKUP(B41,'radky_R'!A:O,15,0)</f>
        <v>Závazky k úvěrovým institucím</v>
      </c>
      <c r="L41" s="498">
        <f>IF($L$4="f",B41,IF($L$4="z",IF(OR(M41&lt;&gt;0,N41&lt;&gt;0),B41,"-"),IF($L$4="m",IF(OR(M41&lt;&gt;0,N41&lt;&gt;0),MAX(L$8:L40)+1,"-"),"-")))</f>
        <v>111</v>
      </c>
      <c r="M41" s="84">
        <f>IF($E41="calc",ROUND(-SUMIFS(DATA!$Y:$Y,DATA!$C:$C,INDEX!$D$11,DATA!$N:$N,$C41,DATA!$S:$S,$B41),0)+P41,SUMIFS(M:M,$D:$D,$E41))</f>
        <v>0</v>
      </c>
      <c r="N41" s="85">
        <f>IF($E41="calc",ROUND(-SUMIFS(DATA!$Y:$Y,DATA!$C:$C,INDEX!$E$11,DATA!$N:$N,$C41,DATA!$S:$S,$B41),0)+Q41,SUMIFS(N:N,$D:$D,$E41))</f>
        <v>0</v>
      </c>
      <c r="P41" s="719"/>
      <c r="Q41" s="720"/>
    </row>
    <row r="42" spans="1:17" ht="25.8" x14ac:dyDescent="0.3">
      <c r="A42" s="428">
        <v>-1</v>
      </c>
      <c r="B42" s="651">
        <v>112</v>
      </c>
      <c r="C42" s="429" t="s">
        <v>517</v>
      </c>
      <c r="D42" s="428" t="s">
        <v>1028</v>
      </c>
      <c r="E42" s="428" t="s">
        <v>1006</v>
      </c>
      <c r="F42" s="433"/>
      <c r="G42" s="546" t="s">
        <v>265</v>
      </c>
      <c r="H42" s="547" t="s">
        <v>241</v>
      </c>
      <c r="I42" s="547" t="s">
        <v>244</v>
      </c>
      <c r="J42" s="548"/>
      <c r="K42" s="551" t="str">
        <f>VLOOKUP(B42,'radky_R'!A:O,15,0)</f>
        <v>Dlouhodobé přijaté zálohy</v>
      </c>
      <c r="L42" s="498">
        <f>IF($L$4="f",B42,IF($L$4="z",IF(OR(M42&lt;&gt;0,N42&lt;&gt;0),B42,"-"),IF($L$4="m",IF(OR(M42&lt;&gt;0,N42&lt;&gt;0),MAX(L$8:L41)+1,"-"),"-")))</f>
        <v>112</v>
      </c>
      <c r="M42" s="84">
        <f>IF($E42="calc",ROUND(-SUMIFS(DATA!$Y:$Y,DATA!$C:$C,INDEX!$D$11,DATA!$N:$N,$C42,DATA!$S:$S,$B42),0)+P42,SUMIFS(M:M,$D:$D,$E42))</f>
        <v>0</v>
      </c>
      <c r="N42" s="85">
        <f>IF($E42="calc",ROUND(-SUMIFS(DATA!$Y:$Y,DATA!$C:$C,INDEX!$E$11,DATA!$N:$N,$C42,DATA!$S:$S,$B42),0)+Q42,SUMIFS(N:N,$D:$D,$E42))</f>
        <v>0</v>
      </c>
      <c r="O42" s="11"/>
      <c r="P42" s="719"/>
      <c r="Q42" s="720"/>
    </row>
    <row r="43" spans="1:17" ht="25.8" x14ac:dyDescent="0.3">
      <c r="A43" s="428">
        <v>-1</v>
      </c>
      <c r="B43" s="651">
        <v>113</v>
      </c>
      <c r="C43" s="429" t="s">
        <v>517</v>
      </c>
      <c r="D43" s="428" t="s">
        <v>1028</v>
      </c>
      <c r="E43" s="428" t="s">
        <v>1006</v>
      </c>
      <c r="F43" s="433"/>
      <c r="G43" s="546" t="s">
        <v>265</v>
      </c>
      <c r="H43" s="547" t="s">
        <v>241</v>
      </c>
      <c r="I43" s="547" t="s">
        <v>245</v>
      </c>
      <c r="J43" s="548"/>
      <c r="K43" s="551" t="str">
        <f>VLOOKUP(B43,'radky_R'!A:O,15,0)</f>
        <v>Závazky z obchodních vztahů</v>
      </c>
      <c r="L43" s="498">
        <f>IF($L$4="f",B43,IF($L$4="z",IF(OR(M43&lt;&gt;0,N43&lt;&gt;0),B43,"-"),IF($L$4="m",IF(OR(M43&lt;&gt;0,N43&lt;&gt;0),MAX(L$8:L42)+1,"-"),"-")))</f>
        <v>113</v>
      </c>
      <c r="M43" s="84">
        <f>IF($E43="calc",ROUND(-SUMIFS(DATA!$Y:$Y,DATA!$C:$C,INDEX!$D$11,DATA!$N:$N,$C43,DATA!$S:$S,$B43),0)+P43,SUMIFS(M:M,$D:$D,$E43))</f>
        <v>0</v>
      </c>
      <c r="N43" s="85">
        <f>IF($E43="calc",ROUND(-SUMIFS(DATA!$Y:$Y,DATA!$C:$C,INDEX!$E$11,DATA!$N:$N,$C43,DATA!$S:$S,$B43),0)+Q43,SUMIFS(N:N,$D:$D,$E43))</f>
        <v>0</v>
      </c>
      <c r="O43" s="11"/>
      <c r="P43" s="719"/>
      <c r="Q43" s="720"/>
    </row>
    <row r="44" spans="1:17" ht="25.8" x14ac:dyDescent="0.3">
      <c r="A44" s="428">
        <v>-1</v>
      </c>
      <c r="B44" s="651">
        <v>114</v>
      </c>
      <c r="C44" s="429" t="s">
        <v>517</v>
      </c>
      <c r="D44" s="428" t="s">
        <v>1028</v>
      </c>
      <c r="E44" s="428" t="s">
        <v>1006</v>
      </c>
      <c r="F44" s="433"/>
      <c r="G44" s="546" t="s">
        <v>265</v>
      </c>
      <c r="H44" s="547" t="s">
        <v>241</v>
      </c>
      <c r="I44" s="547" t="s">
        <v>246</v>
      </c>
      <c r="J44" s="548"/>
      <c r="K44" s="551" t="str">
        <f>VLOOKUP(B44,'radky_R'!A:O,15,0)</f>
        <v>Dlouhodobé směnky k úhradě</v>
      </c>
      <c r="L44" s="498">
        <f>IF($L$4="f",B44,IF($L$4="z",IF(OR(M44&lt;&gt;0,N44&lt;&gt;0),B44,"-"),IF($L$4="m",IF(OR(M44&lt;&gt;0,N44&lt;&gt;0),MAX(L$8:L43)+1,"-"),"-")))</f>
        <v>114</v>
      </c>
      <c r="M44" s="84">
        <f>IF($E44="calc",ROUND(-SUMIFS(DATA!$Y:$Y,DATA!$C:$C,INDEX!$D$11,DATA!$N:$N,$C44,DATA!$S:$S,$B44),0)+P44,SUMIFS(M:M,$D:$D,$E44))</f>
        <v>0</v>
      </c>
      <c r="N44" s="85">
        <f>IF($E44="calc",ROUND(-SUMIFS(DATA!$Y:$Y,DATA!$C:$C,INDEX!$E$11,DATA!$N:$N,$C44,DATA!$S:$S,$B44),0)+Q44,SUMIFS(N:N,$D:$D,$E44))</f>
        <v>0</v>
      </c>
      <c r="O44" s="11"/>
      <c r="P44" s="719"/>
      <c r="Q44" s="720"/>
    </row>
    <row r="45" spans="1:17" ht="25.8" x14ac:dyDescent="0.3">
      <c r="A45" s="428">
        <v>-1</v>
      </c>
      <c r="B45" s="651">
        <v>115</v>
      </c>
      <c r="C45" s="429" t="s">
        <v>517</v>
      </c>
      <c r="D45" s="428" t="s">
        <v>1028</v>
      </c>
      <c r="E45" s="428" t="s">
        <v>1006</v>
      </c>
      <c r="F45" s="433"/>
      <c r="G45" s="546" t="s">
        <v>265</v>
      </c>
      <c r="H45" s="547" t="s">
        <v>241</v>
      </c>
      <c r="I45" s="547" t="s">
        <v>247</v>
      </c>
      <c r="J45" s="548"/>
      <c r="K45" s="551" t="str">
        <f>VLOOKUP(B45,'radky_R'!A:O,15,0)</f>
        <v>Závazky - ovládaná nebo ovládající osoba</v>
      </c>
      <c r="L45" s="498">
        <f>IF($L$4="f",B45,IF($L$4="z",IF(OR(M45&lt;&gt;0,N45&lt;&gt;0),B45,"-"),IF($L$4="m",IF(OR(M45&lt;&gt;0,N45&lt;&gt;0),MAX(L$8:L44)+1,"-"),"-")))</f>
        <v>115</v>
      </c>
      <c r="M45" s="84">
        <f>IF($E45="calc",ROUND(-SUMIFS(DATA!$Y:$Y,DATA!$C:$C,INDEX!$D$11,DATA!$N:$N,$C45,DATA!$S:$S,$B45),0)+P45,SUMIFS(M:M,$D:$D,$E45))</f>
        <v>0</v>
      </c>
      <c r="N45" s="85">
        <f>IF($E45="calc",ROUND(-SUMIFS(DATA!$Y:$Y,DATA!$C:$C,INDEX!$E$11,DATA!$N:$N,$C45,DATA!$S:$S,$B45),0)+Q45,SUMIFS(N:N,$D:$D,$E45))</f>
        <v>0</v>
      </c>
      <c r="O45" s="11"/>
      <c r="P45" s="719"/>
      <c r="Q45" s="720"/>
    </row>
    <row r="46" spans="1:17" ht="25.8" x14ac:dyDescent="0.3">
      <c r="A46" s="428">
        <v>-1</v>
      </c>
      <c r="B46" s="651">
        <v>116</v>
      </c>
      <c r="C46" s="429" t="s">
        <v>517</v>
      </c>
      <c r="D46" s="428" t="s">
        <v>1028</v>
      </c>
      <c r="E46" s="428" t="s">
        <v>1006</v>
      </c>
      <c r="F46" s="433"/>
      <c r="G46" s="546" t="s">
        <v>265</v>
      </c>
      <c r="H46" s="547" t="s">
        <v>241</v>
      </c>
      <c r="I46" s="547" t="s">
        <v>248</v>
      </c>
      <c r="J46" s="548"/>
      <c r="K46" s="551" t="str">
        <f>VLOOKUP(B46,'radky_R'!A:O,15,0)</f>
        <v>Závazky - podstatný vliv</v>
      </c>
      <c r="L46" s="498">
        <f>IF($L$4="f",B46,IF($L$4="z",IF(OR(M46&lt;&gt;0,N46&lt;&gt;0),B46,"-"),IF($L$4="m",IF(OR(M46&lt;&gt;0,N46&lt;&gt;0),MAX(L$8:L45)+1,"-"),"-")))</f>
        <v>116</v>
      </c>
      <c r="M46" s="84">
        <f>IF($E46="calc",ROUND(-SUMIFS(DATA!$Y:$Y,DATA!$C:$C,INDEX!$D$11,DATA!$N:$N,$C46,DATA!$S:$S,$B46),0)+P46,SUMIFS(M:M,$D:$D,$E46))</f>
        <v>0</v>
      </c>
      <c r="N46" s="85">
        <f>IF($E46="calc",ROUND(-SUMIFS(DATA!$Y:$Y,DATA!$C:$C,INDEX!$E$11,DATA!$N:$N,$C46,DATA!$S:$S,$B46),0)+Q46,SUMIFS(N:N,$D:$D,$E46))</f>
        <v>0</v>
      </c>
      <c r="O46" s="11"/>
      <c r="P46" s="719"/>
      <c r="Q46" s="720"/>
    </row>
    <row r="47" spans="1:17" ht="25.8" x14ac:dyDescent="0.3">
      <c r="A47" s="428">
        <v>-1</v>
      </c>
      <c r="B47" s="651">
        <v>117</v>
      </c>
      <c r="C47" s="429" t="s">
        <v>517</v>
      </c>
      <c r="D47" s="428" t="s">
        <v>1028</v>
      </c>
      <c r="E47" s="428" t="s">
        <v>1006</v>
      </c>
      <c r="F47" s="433"/>
      <c r="G47" s="546" t="s">
        <v>265</v>
      </c>
      <c r="H47" s="547" t="s">
        <v>241</v>
      </c>
      <c r="I47" s="547" t="s">
        <v>249</v>
      </c>
      <c r="J47" s="548"/>
      <c r="K47" s="551" t="str">
        <f>VLOOKUP(B47,'radky_R'!A:O,15,0)</f>
        <v>Odložený daňový závazek</v>
      </c>
      <c r="L47" s="498">
        <f>IF($L$4="f",B47,IF($L$4="z",IF(OR(M47&lt;&gt;0,N47&lt;&gt;0),B47,"-"),IF($L$4="m",IF(OR(M47&lt;&gt;0,N47&lt;&gt;0),MAX(L$8:L46)+1,"-"),"-")))</f>
        <v>117</v>
      </c>
      <c r="M47" s="84">
        <f>IF($E47="calc",ROUND(-SUMIFS(DATA!$Y:$Y,DATA!$C:$C,INDEX!$D$11,DATA!$N:$N,$C47,DATA!$S:$S,$B47),0)+P47,SUMIFS(M:M,$D:$D,$E47))</f>
        <v>0</v>
      </c>
      <c r="N47" s="85">
        <f>IF($E47="calc",ROUND(-SUMIFS(DATA!$Y:$Y,DATA!$C:$C,INDEX!$E$11,DATA!$N:$N,$C47,DATA!$S:$S,$B47),0)+Q47,SUMIFS(N:N,$D:$D,$E47))</f>
        <v>0</v>
      </c>
      <c r="O47" s="11"/>
      <c r="P47" s="745"/>
      <c r="Q47" s="746"/>
    </row>
    <row r="48" spans="1:17" ht="25.8" x14ac:dyDescent="0.3">
      <c r="A48" s="428">
        <v>-1</v>
      </c>
      <c r="B48" s="651">
        <v>118</v>
      </c>
      <c r="C48" s="429" t="s">
        <v>517</v>
      </c>
      <c r="D48" s="428" t="s">
        <v>1028</v>
      </c>
      <c r="E48" s="428" t="s">
        <v>1055</v>
      </c>
      <c r="F48" s="433"/>
      <c r="G48" s="584" t="s">
        <v>265</v>
      </c>
      <c r="H48" s="560" t="s">
        <v>241</v>
      </c>
      <c r="I48" s="560" t="s">
        <v>252</v>
      </c>
      <c r="J48" s="561"/>
      <c r="K48" s="585" t="str">
        <f>VLOOKUP(B48,'radky_R'!A:O,15,0)</f>
        <v>Závazky ostatní</v>
      </c>
      <c r="L48" s="516">
        <f>IF($L$4="f",B48,IF($L$4="z",IF(OR(M48&lt;&gt;0,N48&lt;&gt;0),B48,"-"),IF($L$4="m",IF(OR(M48&lt;&gt;0,N48&lt;&gt;0),MAX(L$8:L47)+1,"-"),"-")))</f>
        <v>118</v>
      </c>
      <c r="M48" s="86">
        <f>IF($E48="calc",ROUND(-SUMIFS(DATA!$Y:$Y,DATA!$C:$C,INDEX!$D$11,DATA!$N:$N,$C48,DATA!$S:$S,$B48),0)+P48,SUMIFS(M:M,$D:$D,$E48))</f>
        <v>0</v>
      </c>
      <c r="N48" s="87">
        <f>IF($E48="calc",ROUND(-SUMIFS(DATA!$Y:$Y,DATA!$C:$C,INDEX!$E$11,DATA!$N:$N,$C48,DATA!$S:$S,$B48),0)+Q48,SUMIFS(N:N,$D:$D,$E48))</f>
        <v>0</v>
      </c>
      <c r="O48" s="11"/>
      <c r="P48" s="733"/>
      <c r="Q48" s="734"/>
    </row>
    <row r="49" spans="1:17" ht="25.8" x14ac:dyDescent="0.3">
      <c r="A49" s="434">
        <v>-1</v>
      </c>
      <c r="B49" s="652">
        <v>119</v>
      </c>
      <c r="C49" s="435" t="s">
        <v>517</v>
      </c>
      <c r="D49" s="428" t="s">
        <v>1055</v>
      </c>
      <c r="E49" s="428" t="s">
        <v>1006</v>
      </c>
      <c r="F49" s="436"/>
      <c r="G49" s="570"/>
      <c r="H49" s="586"/>
      <c r="I49" s="564"/>
      <c r="J49" s="564" t="s">
        <v>242</v>
      </c>
      <c r="K49" s="568" t="str">
        <f>VLOOKUP(B49,'radky_R'!A:O,15,0)</f>
        <v>Závazky ke společníkům</v>
      </c>
      <c r="L49" s="517">
        <f>IF($L$4="f",B49,IF($L$4="z",IF(OR(M49&lt;&gt;0,N49&lt;&gt;0),B49,"-"),IF($L$4="m",IF(OR(M49&lt;&gt;0,N49&lt;&gt;0),MAX(L$8:L48)+1,"-"),"-")))</f>
        <v>119</v>
      </c>
      <c r="M49" s="438">
        <f>IF($E49="calc",ROUND(-SUMIFS(DATA!$Y:$Y,DATA!$C:$C,INDEX!$D$11,DATA!$N:$N,$C49,DATA!$S:$S,$B49),0)+P49,SUMIFS(M:M,$D:$D,$E49))</f>
        <v>0</v>
      </c>
      <c r="N49" s="439">
        <f>IF($E49="calc",ROUND(-SUMIFS(DATA!$Y:$Y,DATA!$C:$C,INDEX!$E$11,DATA!$N:$N,$C49,DATA!$S:$S,$B49),0)+Q49,SUMIFS(N:N,$D:$D,$E49))</f>
        <v>0</v>
      </c>
      <c r="O49" s="11"/>
      <c r="P49" s="747"/>
      <c r="Q49" s="748"/>
    </row>
    <row r="50" spans="1:17" s="367" customFormat="1" ht="25.8" x14ac:dyDescent="0.3">
      <c r="A50" s="434">
        <v>-1</v>
      </c>
      <c r="B50" s="652">
        <v>120</v>
      </c>
      <c r="C50" s="435" t="s">
        <v>517</v>
      </c>
      <c r="D50" s="428" t="s">
        <v>1055</v>
      </c>
      <c r="E50" s="428" t="s">
        <v>1006</v>
      </c>
      <c r="F50" s="436"/>
      <c r="G50" s="570"/>
      <c r="H50" s="586"/>
      <c r="I50" s="564"/>
      <c r="J50" s="564" t="s">
        <v>243</v>
      </c>
      <c r="K50" s="568" t="str">
        <f>VLOOKUP(B50,'radky_R'!A:O,15,0)</f>
        <v>Dohadné účty pasívní</v>
      </c>
      <c r="L50" s="517">
        <f>IF($L$4="f",B50,IF($L$4="z",IF(OR(M50&lt;&gt;0,N50&lt;&gt;0),B50,"-"),IF($L$4="m",IF(OR(M50&lt;&gt;0,N50&lt;&gt;0),MAX(L$8:L49)+1,"-"),"-")))</f>
        <v>120</v>
      </c>
      <c r="M50" s="438">
        <f>IF($E50="calc",ROUND(-SUMIFS(DATA!$Y:$Y,DATA!$C:$C,INDEX!$D$11,DATA!$N:$N,$C50,DATA!$S:$S,$B50),0)+P50,SUMIFS(M:M,$D:$D,$E50))</f>
        <v>0</v>
      </c>
      <c r="N50" s="439">
        <f>IF($E50="calc",ROUND(-SUMIFS(DATA!$Y:$Y,DATA!$C:$C,INDEX!$E$11,DATA!$N:$N,$C50,DATA!$S:$S,$B50),0)+Q50,SUMIFS(N:N,$D:$D,$E50))</f>
        <v>0</v>
      </c>
      <c r="P50" s="749"/>
      <c r="Q50" s="750"/>
    </row>
    <row r="51" spans="1:17" s="367" customFormat="1" ht="25.8" x14ac:dyDescent="0.3">
      <c r="A51" s="434">
        <v>-1</v>
      </c>
      <c r="B51" s="652">
        <v>121</v>
      </c>
      <c r="C51" s="435" t="s">
        <v>517</v>
      </c>
      <c r="D51" s="428" t="s">
        <v>1055</v>
      </c>
      <c r="E51" s="428" t="s">
        <v>1006</v>
      </c>
      <c r="F51" s="436"/>
      <c r="G51" s="570"/>
      <c r="H51" s="586"/>
      <c r="I51" s="564"/>
      <c r="J51" s="564" t="s">
        <v>244</v>
      </c>
      <c r="K51" s="568" t="str">
        <f>VLOOKUP(B51,'radky_R'!A:O,15,0)</f>
        <v>Jiné závazky</v>
      </c>
      <c r="L51" s="517">
        <f>IF($L$4="f",B51,IF($L$4="z",IF(OR(M51&lt;&gt;0,N51&lt;&gt;0),B51,"-"),IF($L$4="m",IF(OR(M51&lt;&gt;0,N51&lt;&gt;0),MAX(L$8:L50)+1,"-"),"-")))</f>
        <v>121</v>
      </c>
      <c r="M51" s="438">
        <f>IF($E51="calc",ROUND(-SUMIFS(DATA!$Y:$Y,DATA!$C:$C,INDEX!$D$11,DATA!$N:$N,$C51,DATA!$S:$S,$B51),0)+P51,SUMIFS(M:M,$D:$D,$E51))</f>
        <v>0</v>
      </c>
      <c r="N51" s="439">
        <f>IF($E51="calc",ROUND(-SUMIFS(DATA!$Y:$Y,DATA!$C:$C,INDEX!$E$11,DATA!$N:$N,$C51,DATA!$S:$S,$B51),0)+Q51,SUMIFS(N:N,$D:$D,$E51))</f>
        <v>0</v>
      </c>
      <c r="P51" s="751"/>
      <c r="Q51" s="752"/>
    </row>
    <row r="52" spans="1:17" s="367" customFormat="1" ht="25.8" x14ac:dyDescent="0.3">
      <c r="A52" s="428">
        <v>-1</v>
      </c>
      <c r="B52" s="651">
        <v>122</v>
      </c>
      <c r="C52" s="429" t="s">
        <v>517</v>
      </c>
      <c r="D52" s="428" t="s">
        <v>265</v>
      </c>
      <c r="E52" s="428" t="s">
        <v>1030</v>
      </c>
      <c r="F52" s="433"/>
      <c r="G52" s="474" t="s">
        <v>265</v>
      </c>
      <c r="H52" s="475" t="s">
        <v>251</v>
      </c>
      <c r="I52" s="475"/>
      <c r="J52" s="545"/>
      <c r="K52" s="477" t="str">
        <f>VLOOKUP(B52,'radky_R'!A:O,15,0)</f>
        <v>Krátkodobé závazky      (ř. 123 + 126 až 132)</v>
      </c>
      <c r="L52" s="478">
        <f>IF($L$4="f",B52,IF($L$4="z",IF(OR(M52&lt;&gt;0,N52&lt;&gt;0),B52,"-"),IF($L$4="m",IF(OR(M52&lt;&gt;0,N52&lt;&gt;0),MAX(L$8:L51)+1,"-"),"-")))</f>
        <v>122</v>
      </c>
      <c r="M52" s="79">
        <f>IF($E52="calc",ROUND(-SUMIFS(DATA!$Y:$Y,DATA!$C:$C,INDEX!$D$11,DATA!$N:$N,$C52,DATA!$S:$S,$B52),0)+P52,SUMIFS(M:M,$D:$D,$E52))</f>
        <v>0</v>
      </c>
      <c r="N52" s="88">
        <f>IF($E52="calc",ROUND(-SUMIFS(DATA!$Y:$Y,DATA!$C:$C,INDEX!$E$11,DATA!$N:$N,$C52,DATA!$S:$S,$B52),0)+Q52,SUMIFS(N:N,$D:$D,$E52))</f>
        <v>0</v>
      </c>
      <c r="P52" s="725"/>
      <c r="Q52" s="726"/>
    </row>
    <row r="53" spans="1:17" ht="25.8" x14ac:dyDescent="0.3">
      <c r="A53" s="428">
        <v>-1</v>
      </c>
      <c r="B53" s="651">
        <v>123</v>
      </c>
      <c r="C53" s="429" t="s">
        <v>517</v>
      </c>
      <c r="D53" s="428" t="s">
        <v>1030</v>
      </c>
      <c r="E53" s="428" t="s">
        <v>1031</v>
      </c>
      <c r="F53" s="433"/>
      <c r="G53" s="584" t="s">
        <v>265</v>
      </c>
      <c r="H53" s="560" t="s">
        <v>251</v>
      </c>
      <c r="I53" s="560" t="s">
        <v>242</v>
      </c>
      <c r="J53" s="561"/>
      <c r="K53" s="585" t="str">
        <f>VLOOKUP(B53,'radky_R'!A:O,15,0)</f>
        <v>Vydané dluhopisy</v>
      </c>
      <c r="L53" s="516">
        <f>IF($L$4="f",B53,IF($L$4="z",IF(OR(M53&lt;&gt;0,N53&lt;&gt;0),B53,"-"),IF($L$4="m",IF(OR(M53&lt;&gt;0,N53&lt;&gt;0),MAX(L$8:L52)+1,"-"),"-")))</f>
        <v>123</v>
      </c>
      <c r="M53" s="86">
        <f>IF($E53="calc",ROUND(-SUMIFS(DATA!$Y:$Y,DATA!$C:$C,INDEX!$D$11,DATA!$N:$N,$C53,DATA!$S:$S,$B53),0)+P53,SUMIFS(M:M,$D:$D,$E53))</f>
        <v>0</v>
      </c>
      <c r="N53" s="87">
        <f>IF($E53="calc",ROUND(-SUMIFS(DATA!$Y:$Y,DATA!$C:$C,INDEX!$E$11,DATA!$N:$N,$C53,DATA!$S:$S,$B53),0)+Q53,SUMIFS(N:N,$D:$D,$E53))</f>
        <v>0</v>
      </c>
      <c r="O53" s="11"/>
      <c r="P53" s="729"/>
      <c r="Q53" s="730"/>
    </row>
    <row r="54" spans="1:17" ht="25.8" x14ac:dyDescent="0.3">
      <c r="A54" s="434">
        <v>-1</v>
      </c>
      <c r="B54" s="652">
        <v>124</v>
      </c>
      <c r="C54" s="435" t="s">
        <v>517</v>
      </c>
      <c r="D54" s="428" t="s">
        <v>1031</v>
      </c>
      <c r="E54" s="434" t="s">
        <v>1006</v>
      </c>
      <c r="F54" s="436"/>
      <c r="G54" s="566"/>
      <c r="H54" s="563"/>
      <c r="I54" s="564"/>
      <c r="J54" s="564" t="s">
        <v>242</v>
      </c>
      <c r="K54" s="568" t="str">
        <f>VLOOKUP(B54,'radky_R'!A:O,15,0)</f>
        <v>Vyměnitelné dluhopisy</v>
      </c>
      <c r="L54" s="517">
        <f>IF($L$4="f",B54,IF($L$4="z",IF(OR(M54&lt;&gt;0,N54&lt;&gt;0),B54,"-"),IF($L$4="m",IF(OR(M54&lt;&gt;0,N54&lt;&gt;0),MAX(L$8:L53)+1,"-"),"-")))</f>
        <v>124</v>
      </c>
      <c r="M54" s="438">
        <f>IF($E54="calc",ROUND(-SUMIFS(DATA!$Y:$Y,DATA!$C:$C,INDEX!$D$11,DATA!$N:$N,$C54,DATA!$S:$S,$B54),0)+P54,SUMIFS(M:M,$D:$D,$E54))</f>
        <v>0</v>
      </c>
      <c r="N54" s="439">
        <f>IF($E54="calc",ROUND(-SUMIFS(DATA!$Y:$Y,DATA!$C:$C,INDEX!$E$11,DATA!$N:$N,$C54,DATA!$S:$S,$B54),0)+Q54,SUMIFS(N:N,$D:$D,$E54))</f>
        <v>0</v>
      </c>
      <c r="O54" s="11"/>
      <c r="P54" s="741"/>
      <c r="Q54" s="742"/>
    </row>
    <row r="55" spans="1:17" s="367" customFormat="1" ht="25.8" x14ac:dyDescent="0.3">
      <c r="A55" s="434">
        <v>-1</v>
      </c>
      <c r="B55" s="652">
        <v>125</v>
      </c>
      <c r="C55" s="435" t="s">
        <v>517</v>
      </c>
      <c r="D55" s="428" t="s">
        <v>1031</v>
      </c>
      <c r="E55" s="434" t="s">
        <v>1006</v>
      </c>
      <c r="F55" s="436"/>
      <c r="G55" s="570"/>
      <c r="H55" s="564"/>
      <c r="I55" s="564"/>
      <c r="J55" s="564" t="s">
        <v>243</v>
      </c>
      <c r="K55" s="571" t="str">
        <f>VLOOKUP(B55,'radky_R'!A:O,15,0)</f>
        <v>Ostatní dluhopisy</v>
      </c>
      <c r="L55" s="518">
        <f>IF($L$4="f",B55,IF($L$4="z",IF(OR(M55&lt;&gt;0,N55&lt;&gt;0),B55,"-"),IF($L$4="m",IF(OR(M55&lt;&gt;0,N55&lt;&gt;0),MAX(L$8:L54)+1,"-"),"-")))</f>
        <v>125</v>
      </c>
      <c r="M55" s="440">
        <f>IF($E55="calc",ROUND(-SUMIFS(DATA!$Y:$Y,DATA!$C:$C,INDEX!$D$11,DATA!$N:$N,$C55,DATA!$S:$S,$B55),0)+P55,SUMIFS(M:M,$D:$D,$E55))</f>
        <v>0</v>
      </c>
      <c r="N55" s="441">
        <f>IF($E55="calc",ROUND(-SUMIFS(DATA!$Y:$Y,DATA!$C:$C,INDEX!$E$11,DATA!$N:$N,$C55,DATA!$S:$S,$B55),0)+Q55,SUMIFS(N:N,$D:$D,$E55))</f>
        <v>0</v>
      </c>
      <c r="P55" s="743"/>
      <c r="Q55" s="744"/>
    </row>
    <row r="56" spans="1:17" s="367" customFormat="1" ht="25.8" x14ac:dyDescent="0.3">
      <c r="A56" s="428">
        <v>-1</v>
      </c>
      <c r="B56" s="651">
        <v>126</v>
      </c>
      <c r="C56" s="429" t="s">
        <v>517</v>
      </c>
      <c r="D56" s="428" t="s">
        <v>1030</v>
      </c>
      <c r="E56" s="428" t="s">
        <v>1006</v>
      </c>
      <c r="F56" s="433"/>
      <c r="G56" s="546" t="s">
        <v>265</v>
      </c>
      <c r="H56" s="547" t="s">
        <v>251</v>
      </c>
      <c r="I56" s="547" t="s">
        <v>243</v>
      </c>
      <c r="J56" s="548"/>
      <c r="K56" s="551" t="str">
        <f>VLOOKUP(B56,'radky_R'!A:O,15,0)</f>
        <v>Závazky k úvěrovým institucím</v>
      </c>
      <c r="L56" s="498">
        <f>IF($L$4="f",B56,IF($L$4="z",IF(OR(M56&lt;&gt;0,N56&lt;&gt;0),B56,"-"),IF($L$4="m",IF(OR(M56&lt;&gt;0,N56&lt;&gt;0),MAX(L$8:L55)+1,"-"),"-")))</f>
        <v>126</v>
      </c>
      <c r="M56" s="84">
        <f>IF($E56="calc",ROUND(-SUMIFS(DATA!$Y:$Y,DATA!$C:$C,INDEX!$D$11,DATA!$N:$N,$C56,DATA!$S:$S,$B56),0)+P56,SUMIFS(M:M,$D:$D,$E56))</f>
        <v>0</v>
      </c>
      <c r="N56" s="85">
        <f>IF($E56="calc",ROUND(-SUMIFS(DATA!$Y:$Y,DATA!$C:$C,INDEX!$E$11,DATA!$N:$N,$C56,DATA!$S:$S,$B56),0)+Q56,SUMIFS(N:N,$D:$D,$E56))</f>
        <v>0</v>
      </c>
      <c r="P56" s="743"/>
      <c r="Q56" s="744"/>
    </row>
    <row r="57" spans="1:17" ht="25.8" x14ac:dyDescent="0.3">
      <c r="A57" s="428">
        <v>-1</v>
      </c>
      <c r="B57" s="651">
        <v>127</v>
      </c>
      <c r="C57" s="429" t="s">
        <v>517</v>
      </c>
      <c r="D57" s="428" t="s">
        <v>1030</v>
      </c>
      <c r="E57" s="428" t="s">
        <v>1006</v>
      </c>
      <c r="F57" s="433"/>
      <c r="G57" s="546" t="s">
        <v>265</v>
      </c>
      <c r="H57" s="547" t="s">
        <v>251</v>
      </c>
      <c r="I57" s="547" t="s">
        <v>244</v>
      </c>
      <c r="J57" s="548"/>
      <c r="K57" s="551" t="str">
        <f>VLOOKUP(B57,'radky_R'!A:O,15,0)</f>
        <v>Krátkodobé přijaté zálohy</v>
      </c>
      <c r="L57" s="498">
        <f>IF($L$4="f",B57,IF($L$4="z",IF(OR(M57&lt;&gt;0,N57&lt;&gt;0),B57,"-"),IF($L$4="m",IF(OR(M57&lt;&gt;0,N57&lt;&gt;0),MAX(L$8:L56)+1,"-"),"-")))</f>
        <v>127</v>
      </c>
      <c r="M57" s="84">
        <f>IF($E57="calc",ROUND(-SUMIFS(DATA!$Y:$Y,DATA!$C:$C,INDEX!$D$11,DATA!$N:$N,$C57,DATA!$S:$S,$B57),0)+P57,SUMIFS(M:M,$D:$D,$E57))</f>
        <v>0</v>
      </c>
      <c r="N57" s="85">
        <f>IF($E57="calc",ROUND(-SUMIFS(DATA!$Y:$Y,DATA!$C:$C,INDEX!$E$11,DATA!$N:$N,$C57,DATA!$S:$S,$B57),0)+Q57,SUMIFS(N:N,$D:$D,$E57))</f>
        <v>0</v>
      </c>
      <c r="O57" s="11"/>
      <c r="P57" s="719"/>
      <c r="Q57" s="720"/>
    </row>
    <row r="58" spans="1:17" ht="25.8" x14ac:dyDescent="0.3">
      <c r="A58" s="428">
        <v>-1</v>
      </c>
      <c r="B58" s="651">
        <v>128</v>
      </c>
      <c r="C58" s="429" t="s">
        <v>517</v>
      </c>
      <c r="D58" s="428" t="s">
        <v>1030</v>
      </c>
      <c r="E58" s="428" t="s">
        <v>1006</v>
      </c>
      <c r="F58" s="433"/>
      <c r="G58" s="546" t="s">
        <v>265</v>
      </c>
      <c r="H58" s="547" t="s">
        <v>251</v>
      </c>
      <c r="I58" s="547" t="s">
        <v>245</v>
      </c>
      <c r="J58" s="548"/>
      <c r="K58" s="551" t="str">
        <f>VLOOKUP(B58,'radky_R'!A:O,15,0)</f>
        <v>Závazky z obchodních vztahů</v>
      </c>
      <c r="L58" s="498">
        <f>IF($L$4="f",B58,IF($L$4="z",IF(OR(M58&lt;&gt;0,N58&lt;&gt;0),B58,"-"),IF($L$4="m",IF(OR(M58&lt;&gt;0,N58&lt;&gt;0),MAX(L$8:L57)+1,"-"),"-")))</f>
        <v>128</v>
      </c>
      <c r="M58" s="84">
        <f>IF($E58="calc",ROUND(-SUMIFS(DATA!$Y:$Y,DATA!$C:$C,INDEX!$D$11,DATA!$N:$N,$C58,DATA!$S:$S,$B58),0)+P58,SUMIFS(M:M,$D:$D,$E58))</f>
        <v>0</v>
      </c>
      <c r="N58" s="85">
        <f>IF($E58="calc",ROUND(-SUMIFS(DATA!$Y:$Y,DATA!$C:$C,INDEX!$E$11,DATA!$N:$N,$C58,DATA!$S:$S,$B58),0)+Q58,SUMIFS(N:N,$D:$D,$E58))</f>
        <v>0</v>
      </c>
      <c r="O58" s="11"/>
      <c r="P58" s="719"/>
      <c r="Q58" s="720"/>
    </row>
    <row r="59" spans="1:17" ht="25.8" x14ac:dyDescent="0.3">
      <c r="A59" s="428">
        <v>-1</v>
      </c>
      <c r="B59" s="651">
        <v>129</v>
      </c>
      <c r="C59" s="429" t="s">
        <v>517</v>
      </c>
      <c r="D59" s="428" t="s">
        <v>1030</v>
      </c>
      <c r="E59" s="428" t="s">
        <v>1006</v>
      </c>
      <c r="F59" s="433"/>
      <c r="G59" s="546" t="s">
        <v>265</v>
      </c>
      <c r="H59" s="547" t="s">
        <v>251</v>
      </c>
      <c r="I59" s="547" t="s">
        <v>246</v>
      </c>
      <c r="J59" s="548"/>
      <c r="K59" s="551" t="str">
        <f>VLOOKUP(B59,'radky_R'!A:O,15,0)</f>
        <v>Krátkodobé směnky k úhradě</v>
      </c>
      <c r="L59" s="498">
        <f>IF($L$4="f",B59,IF($L$4="z",IF(OR(M59&lt;&gt;0,N59&lt;&gt;0),B59,"-"),IF($L$4="m",IF(OR(M59&lt;&gt;0,N59&lt;&gt;0),MAX(L$8:L58)+1,"-"),"-")))</f>
        <v>129</v>
      </c>
      <c r="M59" s="84">
        <f>IF($E59="calc",ROUND(-SUMIFS(DATA!$Y:$Y,DATA!$C:$C,INDEX!$D$11,DATA!$N:$N,$C59,DATA!$S:$S,$B59),0)+P59,SUMIFS(M:M,$D:$D,$E59))</f>
        <v>0</v>
      </c>
      <c r="N59" s="85">
        <f>IF($E59="calc",ROUND(-SUMIFS(DATA!$Y:$Y,DATA!$C:$C,INDEX!$E$11,DATA!$N:$N,$C59,DATA!$S:$S,$B59),0)+Q59,SUMIFS(N:N,$D:$D,$E59))</f>
        <v>0</v>
      </c>
      <c r="O59" s="11"/>
      <c r="P59" s="719"/>
      <c r="Q59" s="720"/>
    </row>
    <row r="60" spans="1:17" ht="25.8" x14ac:dyDescent="0.3">
      <c r="A60" s="428">
        <v>-1</v>
      </c>
      <c r="B60" s="651">
        <v>130</v>
      </c>
      <c r="C60" s="429" t="s">
        <v>517</v>
      </c>
      <c r="D60" s="428" t="s">
        <v>1030</v>
      </c>
      <c r="E60" s="428" t="s">
        <v>1006</v>
      </c>
      <c r="F60" s="433"/>
      <c r="G60" s="546" t="s">
        <v>265</v>
      </c>
      <c r="H60" s="547" t="s">
        <v>251</v>
      </c>
      <c r="I60" s="547" t="s">
        <v>247</v>
      </c>
      <c r="J60" s="548"/>
      <c r="K60" s="551" t="str">
        <f>VLOOKUP(B60,'radky_R'!A:O,15,0)</f>
        <v>Závazky - ovládaná nebo ovládající osoba</v>
      </c>
      <c r="L60" s="498">
        <f>IF($L$4="f",B60,IF($L$4="z",IF(OR(M60&lt;&gt;0,N60&lt;&gt;0),B60,"-"),IF($L$4="m",IF(OR(M60&lt;&gt;0,N60&lt;&gt;0),MAX(L$8:L59)+1,"-"),"-")))</f>
        <v>130</v>
      </c>
      <c r="M60" s="84">
        <f>IF($E60="calc",ROUND(-SUMIFS(DATA!$Y:$Y,DATA!$C:$C,INDEX!$D$11,DATA!$N:$N,$C60,DATA!$S:$S,$B60),0)+P60,SUMIFS(M:M,$D:$D,$E60))</f>
        <v>0</v>
      </c>
      <c r="N60" s="85">
        <f>IF($E60="calc",ROUND(-SUMIFS(DATA!$Y:$Y,DATA!$C:$C,INDEX!$E$11,DATA!$N:$N,$C60,DATA!$S:$S,$B60),0)+Q60,SUMIFS(N:N,$D:$D,$E60))</f>
        <v>0</v>
      </c>
      <c r="O60" s="11"/>
      <c r="P60" s="719"/>
      <c r="Q60" s="720"/>
    </row>
    <row r="61" spans="1:17" ht="25.8" x14ac:dyDescent="0.3">
      <c r="A61" s="428">
        <v>-1</v>
      </c>
      <c r="B61" s="651">
        <v>131</v>
      </c>
      <c r="C61" s="429" t="s">
        <v>517</v>
      </c>
      <c r="D61" s="428" t="s">
        <v>1030</v>
      </c>
      <c r="E61" s="428" t="s">
        <v>1006</v>
      </c>
      <c r="F61" s="433"/>
      <c r="G61" s="546" t="s">
        <v>265</v>
      </c>
      <c r="H61" s="547" t="s">
        <v>251</v>
      </c>
      <c r="I61" s="547" t="s">
        <v>248</v>
      </c>
      <c r="J61" s="548"/>
      <c r="K61" s="551" t="str">
        <f>VLOOKUP(B61,'radky_R'!A:O,15,0)</f>
        <v>Závazky - podstatný vliv</v>
      </c>
      <c r="L61" s="498">
        <f>IF($L$4="f",B61,IF($L$4="z",IF(OR(M61&lt;&gt;0,N61&lt;&gt;0),B61,"-"),IF($L$4="m",IF(OR(M61&lt;&gt;0,N61&lt;&gt;0),MAX(L$8:L60)+1,"-"),"-")))</f>
        <v>131</v>
      </c>
      <c r="M61" s="84">
        <f>IF($E61="calc",ROUND(-SUMIFS(DATA!$Y:$Y,DATA!$C:$C,INDEX!$D$11,DATA!$N:$N,$C61,DATA!$S:$S,$B61),0)+P61,SUMIFS(M:M,$D:$D,$E61))</f>
        <v>0</v>
      </c>
      <c r="N61" s="85">
        <f>IF($E61="calc",ROUND(-SUMIFS(DATA!$Y:$Y,DATA!$C:$C,INDEX!$E$11,DATA!$N:$N,$C61,DATA!$S:$S,$B61),0)+Q61,SUMIFS(N:N,$D:$D,$E61))</f>
        <v>0</v>
      </c>
      <c r="O61" s="11"/>
      <c r="P61" s="745"/>
      <c r="Q61" s="746"/>
    </row>
    <row r="62" spans="1:17" ht="25.8" x14ac:dyDescent="0.3">
      <c r="A62" s="428">
        <v>-1</v>
      </c>
      <c r="B62" s="651">
        <v>132</v>
      </c>
      <c r="C62" s="429" t="s">
        <v>517</v>
      </c>
      <c r="D62" s="428" t="s">
        <v>1030</v>
      </c>
      <c r="E62" s="428" t="s">
        <v>1056</v>
      </c>
      <c r="F62" s="433"/>
      <c r="G62" s="584" t="s">
        <v>265</v>
      </c>
      <c r="H62" s="560" t="s">
        <v>251</v>
      </c>
      <c r="I62" s="560" t="s">
        <v>249</v>
      </c>
      <c r="J62" s="561"/>
      <c r="K62" s="585" t="str">
        <f>VLOOKUP(B62,'radky_R'!A:O,15,0)</f>
        <v>Závazky ostatní</v>
      </c>
      <c r="L62" s="516">
        <f>IF($L$4="f",B62,IF($L$4="z",IF(OR(M62&lt;&gt;0,N62&lt;&gt;0),B62,"-"),IF($L$4="m",IF(OR(M62&lt;&gt;0,N62&lt;&gt;0),MAX(L$8:L61)+1,"-"),"-")))</f>
        <v>132</v>
      </c>
      <c r="M62" s="86">
        <f>IF($E62="calc",ROUND(-SUMIFS(DATA!$Y:$Y,DATA!$C:$C,INDEX!$D$11,DATA!$N:$N,$C62,DATA!$S:$S,$B62),0)+P62,SUMIFS(M:M,$D:$D,$E62))</f>
        <v>0</v>
      </c>
      <c r="N62" s="87">
        <f>IF($E62="calc",ROUND(-SUMIFS(DATA!$Y:$Y,DATA!$C:$C,INDEX!$E$11,DATA!$N:$N,$C62,DATA!$S:$S,$B62),0)+Q62,SUMIFS(N:N,$D:$D,$E62))</f>
        <v>0</v>
      </c>
      <c r="O62" s="11"/>
      <c r="P62" s="731"/>
      <c r="Q62" s="732"/>
    </row>
    <row r="63" spans="1:17" ht="25.8" x14ac:dyDescent="0.3">
      <c r="A63" s="434">
        <v>-1</v>
      </c>
      <c r="B63" s="652">
        <v>133</v>
      </c>
      <c r="C63" s="435" t="s">
        <v>517</v>
      </c>
      <c r="D63" s="428" t="s">
        <v>1056</v>
      </c>
      <c r="E63" s="434" t="s">
        <v>1006</v>
      </c>
      <c r="F63" s="436"/>
      <c r="G63" s="566"/>
      <c r="H63" s="563"/>
      <c r="I63" s="564"/>
      <c r="J63" s="564" t="s">
        <v>242</v>
      </c>
      <c r="K63" s="568" t="str">
        <f>VLOOKUP(B63,'radky_R'!A:O,15,0)</f>
        <v>Závazky ke společníkům</v>
      </c>
      <c r="L63" s="517">
        <f>IF($L$4="f",B63,IF($L$4="z",IF(OR(M63&lt;&gt;0,N63&lt;&gt;0),B63,"-"),IF($L$4="m",IF(OR(M63&lt;&gt;0,N63&lt;&gt;0),MAX(L$8:L62)+1,"-"),"-")))</f>
        <v>133</v>
      </c>
      <c r="M63" s="438">
        <f>IF($E63="calc",ROUND(-SUMIFS(DATA!$Y:$Y,DATA!$C:$C,INDEX!$D$11,DATA!$N:$N,$C63,DATA!$S:$S,$B63),0)+P63,SUMIFS(M:M,$D:$D,$E63))</f>
        <v>0</v>
      </c>
      <c r="N63" s="439">
        <f>IF($E63="calc",ROUND(-SUMIFS(DATA!$Y:$Y,DATA!$C:$C,INDEX!$E$11,DATA!$N:$N,$C63,DATA!$S:$S,$B63),0)+Q63,SUMIFS(N:N,$D:$D,$E63))</f>
        <v>0</v>
      </c>
      <c r="O63" s="11"/>
      <c r="P63" s="741"/>
      <c r="Q63" s="742"/>
    </row>
    <row r="64" spans="1:17" s="367" customFormat="1" ht="25.8" x14ac:dyDescent="0.3">
      <c r="A64" s="434">
        <v>-1</v>
      </c>
      <c r="B64" s="652">
        <v>134</v>
      </c>
      <c r="C64" s="435" t="s">
        <v>517</v>
      </c>
      <c r="D64" s="428" t="s">
        <v>1056</v>
      </c>
      <c r="E64" s="434" t="s">
        <v>1006</v>
      </c>
      <c r="F64" s="436"/>
      <c r="G64" s="566"/>
      <c r="H64" s="563"/>
      <c r="I64" s="564"/>
      <c r="J64" s="564" t="s">
        <v>243</v>
      </c>
      <c r="K64" s="568" t="str">
        <f>VLOOKUP(B64,'radky_R'!A:O,15,0)</f>
        <v>Krátkodobé finanční výpomoci</v>
      </c>
      <c r="L64" s="517">
        <f>IF($L$4="f",B64,IF($L$4="z",IF(OR(M64&lt;&gt;0,N64&lt;&gt;0),B64,"-"),IF($L$4="m",IF(OR(M64&lt;&gt;0,N64&lt;&gt;0),MAX(L$8:L63)+1,"-"),"-")))</f>
        <v>134</v>
      </c>
      <c r="M64" s="438">
        <f>IF($E64="calc",ROUND(-SUMIFS(DATA!$Y:$Y,DATA!$C:$C,INDEX!$D$11,DATA!$N:$N,$C64,DATA!$S:$S,$B64),0)+P64,SUMIFS(M:M,$D:$D,$E64))</f>
        <v>0</v>
      </c>
      <c r="N64" s="439">
        <f>IF($E64="calc",ROUND(-SUMIFS(DATA!$Y:$Y,DATA!$C:$C,INDEX!$E$11,DATA!$N:$N,$C64,DATA!$S:$S,$B64),0)+Q64,SUMIFS(N:N,$D:$D,$E64))</f>
        <v>0</v>
      </c>
      <c r="P64" s="743"/>
      <c r="Q64" s="744"/>
    </row>
    <row r="65" spans="1:17" s="367" customFormat="1" ht="25.8" x14ac:dyDescent="0.3">
      <c r="A65" s="434">
        <v>-1</v>
      </c>
      <c r="B65" s="652">
        <v>135</v>
      </c>
      <c r="C65" s="435" t="s">
        <v>517</v>
      </c>
      <c r="D65" s="428" t="s">
        <v>1056</v>
      </c>
      <c r="E65" s="434" t="s">
        <v>1006</v>
      </c>
      <c r="F65" s="436"/>
      <c r="G65" s="566"/>
      <c r="H65" s="563"/>
      <c r="I65" s="564"/>
      <c r="J65" s="564" t="s">
        <v>244</v>
      </c>
      <c r="K65" s="568" t="str">
        <f>VLOOKUP(B65,'radky_R'!A:O,15,0)</f>
        <v>Závazky k zaměstnancům</v>
      </c>
      <c r="L65" s="517">
        <f>IF($L$4="f",B65,IF($L$4="z",IF(OR(M65&lt;&gt;0,N65&lt;&gt;0),B65,"-"),IF($L$4="m",IF(OR(M65&lt;&gt;0,N65&lt;&gt;0),MAX(L$8:L64)+1,"-"),"-")))</f>
        <v>135</v>
      </c>
      <c r="M65" s="438">
        <f>IF($E65="calc",ROUND(-SUMIFS(DATA!$Y:$Y,DATA!$C:$C,INDEX!$D$11,DATA!$N:$N,$C65,DATA!$S:$S,$B65),0)+P65,SUMIFS(M:M,$D:$D,$E65))</f>
        <v>0</v>
      </c>
      <c r="N65" s="439">
        <f>IF($E65="calc",ROUND(-SUMIFS(DATA!$Y:$Y,DATA!$C:$C,INDEX!$E$11,DATA!$N:$N,$C65,DATA!$S:$S,$B65),0)+Q65,SUMIFS(N:N,$D:$D,$E65))</f>
        <v>0</v>
      </c>
      <c r="P65" s="743"/>
      <c r="Q65" s="744"/>
    </row>
    <row r="66" spans="1:17" s="367" customFormat="1" ht="25.8" x14ac:dyDescent="0.3">
      <c r="A66" s="434">
        <v>-1</v>
      </c>
      <c r="B66" s="652">
        <v>136</v>
      </c>
      <c r="C66" s="435" t="s">
        <v>517</v>
      </c>
      <c r="D66" s="428" t="s">
        <v>1056</v>
      </c>
      <c r="E66" s="434" t="s">
        <v>1006</v>
      </c>
      <c r="F66" s="436"/>
      <c r="G66" s="566"/>
      <c r="H66" s="563"/>
      <c r="I66" s="564"/>
      <c r="J66" s="564" t="s">
        <v>245</v>
      </c>
      <c r="K66" s="568" t="str">
        <f>VLOOKUP(B66,'radky_R'!A:O,15,0)</f>
        <v>Závazky ze sociálního zabezpečení a zdravotního pojištění</v>
      </c>
      <c r="L66" s="517">
        <f>IF($L$4="f",B66,IF($L$4="z",IF(OR(M66&lt;&gt;0,N66&lt;&gt;0),B66,"-"),IF($L$4="m",IF(OR(M66&lt;&gt;0,N66&lt;&gt;0),MAX(L$8:L65)+1,"-"),"-")))</f>
        <v>136</v>
      </c>
      <c r="M66" s="438">
        <f>IF($E66="calc",ROUND(-SUMIFS(DATA!$Y:$Y,DATA!$C:$C,INDEX!$D$11,DATA!$N:$N,$C66,DATA!$S:$S,$B66),0)+P66,SUMIFS(M:M,$D:$D,$E66))</f>
        <v>0</v>
      </c>
      <c r="N66" s="439">
        <f>IF($E66="calc",ROUND(-SUMIFS(DATA!$Y:$Y,DATA!$C:$C,INDEX!$E$11,DATA!$N:$N,$C66,DATA!$S:$S,$B66),0)+Q66,SUMIFS(N:N,$D:$D,$E66))</f>
        <v>0</v>
      </c>
      <c r="P66" s="743"/>
      <c r="Q66" s="744"/>
    </row>
    <row r="67" spans="1:17" s="367" customFormat="1" ht="25.8" x14ac:dyDescent="0.3">
      <c r="A67" s="434">
        <v>-1</v>
      </c>
      <c r="B67" s="652">
        <v>137</v>
      </c>
      <c r="C67" s="435" t="s">
        <v>517</v>
      </c>
      <c r="D67" s="428" t="s">
        <v>1056</v>
      </c>
      <c r="E67" s="434" t="s">
        <v>1006</v>
      </c>
      <c r="F67" s="436"/>
      <c r="G67" s="566"/>
      <c r="H67" s="563"/>
      <c r="I67" s="564"/>
      <c r="J67" s="564" t="s">
        <v>246</v>
      </c>
      <c r="K67" s="568" t="str">
        <f>VLOOKUP(B67,'radky_R'!A:O,15,0)</f>
        <v>Stát - daňové závazky a dotace</v>
      </c>
      <c r="L67" s="517">
        <f>IF($L$4="f",B67,IF($L$4="z",IF(OR(M67&lt;&gt;0,N67&lt;&gt;0),B67,"-"),IF($L$4="m",IF(OR(M67&lt;&gt;0,N67&lt;&gt;0),MAX(L$8:L66)+1,"-"),"-")))</f>
        <v>137</v>
      </c>
      <c r="M67" s="438">
        <f>IF($E67="calc",ROUND(-SUMIFS(DATA!$Y:$Y,DATA!$C:$C,INDEX!$D$11,DATA!$N:$N,$C67,DATA!$S:$S,$B67),0)+P67,SUMIFS(M:M,$D:$D,$E67))</f>
        <v>0</v>
      </c>
      <c r="N67" s="439">
        <f>IF($E67="calc",ROUND(-SUMIFS(DATA!$Y:$Y,DATA!$C:$C,INDEX!$E$11,DATA!$N:$N,$C67,DATA!$S:$S,$B67),0)+Q67,SUMIFS(N:N,$D:$D,$E67))</f>
        <v>0</v>
      </c>
      <c r="P67" s="743"/>
      <c r="Q67" s="744"/>
    </row>
    <row r="68" spans="1:17" s="367" customFormat="1" ht="25.8" x14ac:dyDescent="0.3">
      <c r="A68" s="434">
        <v>-1</v>
      </c>
      <c r="B68" s="652">
        <v>138</v>
      </c>
      <c r="C68" s="435" t="s">
        <v>517</v>
      </c>
      <c r="D68" s="428" t="s">
        <v>1056</v>
      </c>
      <c r="E68" s="434" t="s">
        <v>1006</v>
      </c>
      <c r="F68" s="436"/>
      <c r="G68" s="566"/>
      <c r="H68" s="563"/>
      <c r="I68" s="564"/>
      <c r="J68" s="564" t="s">
        <v>247</v>
      </c>
      <c r="K68" s="568" t="str">
        <f>VLOOKUP(B68,'radky_R'!A:O,15,0)</f>
        <v xml:space="preserve">Dohadné účty pasivní </v>
      </c>
      <c r="L68" s="517">
        <f>IF($L$4="f",B68,IF($L$4="z",IF(OR(M68&lt;&gt;0,N68&lt;&gt;0),B68,"-"),IF($L$4="m",IF(OR(M68&lt;&gt;0,N68&lt;&gt;0),MAX(L$8:L67)+1,"-"),"-")))</f>
        <v>138</v>
      </c>
      <c r="M68" s="438">
        <f>IF($E68="calc",ROUND(-SUMIFS(DATA!$Y:$Y,DATA!$C:$C,INDEX!$D$11,DATA!$N:$N,$C68,DATA!$S:$S,$B68),0)+P68,SUMIFS(M:M,$D:$D,$E68))</f>
        <v>0</v>
      </c>
      <c r="N68" s="439">
        <f>IF($E68="calc",ROUND(-SUMIFS(DATA!$Y:$Y,DATA!$C:$C,INDEX!$E$11,DATA!$N:$N,$C68,DATA!$S:$S,$B68),0)+Q68,SUMIFS(N:N,$D:$D,$E68))</f>
        <v>0</v>
      </c>
      <c r="P68" s="743"/>
      <c r="Q68" s="744"/>
    </row>
    <row r="69" spans="1:17" s="367" customFormat="1" ht="26.4" thickBot="1" x14ac:dyDescent="0.35">
      <c r="A69" s="434">
        <v>-1</v>
      </c>
      <c r="B69" s="652">
        <v>139</v>
      </c>
      <c r="C69" s="435" t="s">
        <v>517</v>
      </c>
      <c r="D69" s="428" t="s">
        <v>1056</v>
      </c>
      <c r="E69" s="434" t="s">
        <v>1006</v>
      </c>
      <c r="F69" s="436"/>
      <c r="G69" s="566"/>
      <c r="H69" s="563"/>
      <c r="I69" s="564"/>
      <c r="J69" s="564" t="s">
        <v>248</v>
      </c>
      <c r="K69" s="568" t="str">
        <f>VLOOKUP(B69,'radky_R'!A:O,15,0)</f>
        <v>Jiné závazky</v>
      </c>
      <c r="L69" s="517">
        <f>IF($L$4="f",B69,IF($L$4="z",IF(OR(M69&lt;&gt;0,N69&lt;&gt;0),B69,"-"),IF($L$4="m",IF(OR(M69&lt;&gt;0,N69&lt;&gt;0),MAX(L$8:L68)+1,"-"),"-")))</f>
        <v>139</v>
      </c>
      <c r="M69" s="438">
        <f>IF($E69="calc",ROUND(-SUMIFS(DATA!$Y:$Y,DATA!$C:$C,INDEX!$D$11,DATA!$N:$N,$C69,DATA!$S:$S,$B69),0)+P69,SUMIFS(M:M,$D:$D,$E69))</f>
        <v>0</v>
      </c>
      <c r="N69" s="439">
        <f>IF($E69="calc",ROUND(-SUMIFS(DATA!$Y:$Y,DATA!$C:$C,INDEX!$E$11,DATA!$N:$N,$C69,DATA!$S:$S,$B69),0)+Q69,SUMIFS(N:N,$D:$D,$E69))</f>
        <v>0</v>
      </c>
      <c r="O69" s="770" t="s">
        <v>620</v>
      </c>
      <c r="P69" s="739"/>
      <c r="Q69" s="740"/>
    </row>
    <row r="70" spans="1:17" s="367" customFormat="1" ht="25.8" x14ac:dyDescent="0.3">
      <c r="A70" s="434">
        <v>-1</v>
      </c>
      <c r="B70" s="651">
        <v>140</v>
      </c>
      <c r="C70" s="435" t="s">
        <v>517</v>
      </c>
      <c r="D70" s="428" t="s">
        <v>1047</v>
      </c>
      <c r="E70" s="428" t="s">
        <v>274</v>
      </c>
      <c r="F70" s="433"/>
      <c r="G70" s="469" t="s">
        <v>274</v>
      </c>
      <c r="H70" s="582"/>
      <c r="I70" s="582"/>
      <c r="J70" s="583"/>
      <c r="K70" s="472" t="str">
        <f>VLOOKUP(B70,'radky_R'!A:O,15,0)</f>
        <v>Časové rozlišení pasiv      (ř. 141 + 142)</v>
      </c>
      <c r="L70" s="473">
        <f>IF($L$4="f",B70,IF($L$4="z",IF(OR(M70&lt;&gt;0,N70&lt;&gt;0),B70,"-"),IF($L$4="m",IF(OR(M70&lt;&gt;0,N70&lt;&gt;0),MAX(L$8:L69)+1,"-"),"-")))</f>
        <v>140</v>
      </c>
      <c r="M70" s="386">
        <f>IF($E70="calc",ROUND(-SUMIFS(DATA!$Y:$Y,DATA!$C:$C,INDEX!$D$11,DATA!$N:$N,$C70,DATA!$S:$S,$B70),0)+P70,SUMIFS(M:M,$D:$D,$E70))</f>
        <v>0</v>
      </c>
      <c r="N70" s="387">
        <f>IF($E70="calc",ROUND(-SUMIFS(DATA!$Y:$Y,DATA!$C:$C,INDEX!$E$11,DATA!$N:$N,$C70,DATA!$S:$S,$B70),0)+Q70,SUMIFS(N:N,$D:$D,$E70))</f>
        <v>0</v>
      </c>
      <c r="O70" s="770"/>
      <c r="P70" s="727"/>
      <c r="Q70" s="728"/>
    </row>
    <row r="71" spans="1:17" ht="25.8" x14ac:dyDescent="0.3">
      <c r="A71" s="434">
        <v>-1</v>
      </c>
      <c r="B71" s="651">
        <v>141</v>
      </c>
      <c r="C71" s="435" t="s">
        <v>517</v>
      </c>
      <c r="D71" s="428" t="s">
        <v>274</v>
      </c>
      <c r="E71" s="428" t="s">
        <v>1006</v>
      </c>
      <c r="F71" s="433"/>
      <c r="G71" s="546" t="s">
        <v>274</v>
      </c>
      <c r="H71" s="547" t="s">
        <v>242</v>
      </c>
      <c r="I71" s="547"/>
      <c r="J71" s="548"/>
      <c r="K71" s="551" t="str">
        <f>VLOOKUP(B71,'radky_R'!A:O,15,0)</f>
        <v>Výdaje příštích období</v>
      </c>
      <c r="L71" s="498">
        <f>IF($L$4="f",B71,IF($L$4="z",IF(OR(M71&lt;&gt;0,N71&lt;&gt;0),B71,"-"),IF($L$4="m",IF(OR(M71&lt;&gt;0,N71&lt;&gt;0),MAX(L$8:L70)+1,"-"),"-")))</f>
        <v>141</v>
      </c>
      <c r="M71" s="84">
        <f>IF($E71="calc",ROUND(-SUMIFS(DATA!$Y:$Y,DATA!$C:$C,INDEX!$D$11,DATA!$N:$N,$C71,DATA!$S:$S,$B71),0)+P71,SUMIFS(M:M,$D:$D,$E71))</f>
        <v>0</v>
      </c>
      <c r="N71" s="85">
        <f>IF($E71="calc",ROUND(-SUMIFS(DATA!$Y:$Y,DATA!$C:$C,INDEX!$E$11,DATA!$N:$N,$C71,DATA!$S:$S,$B71),0)+Q71,SUMIFS(N:N,$D:$D,$E71))</f>
        <v>0</v>
      </c>
      <c r="O71" s="770"/>
      <c r="P71" s="737"/>
      <c r="Q71" s="738"/>
    </row>
    <row r="72" spans="1:17" ht="26.4" thickBot="1" x14ac:dyDescent="0.35">
      <c r="A72" s="434">
        <v>-1</v>
      </c>
      <c r="B72" s="651">
        <v>142</v>
      </c>
      <c r="C72" s="435" t="s">
        <v>517</v>
      </c>
      <c r="D72" s="428" t="s">
        <v>274</v>
      </c>
      <c r="E72" s="428" t="s">
        <v>1006</v>
      </c>
      <c r="F72" s="433"/>
      <c r="G72" s="587" t="s">
        <v>274</v>
      </c>
      <c r="H72" s="588" t="s">
        <v>243</v>
      </c>
      <c r="I72" s="588"/>
      <c r="J72" s="589"/>
      <c r="K72" s="590" t="str">
        <f>VLOOKUP(B72,'radky_R'!A:O,15,0)</f>
        <v xml:space="preserve">Výnosy příštích období </v>
      </c>
      <c r="L72" s="542">
        <f>IF($L$4="f",B72,IF($L$4="z",IF(OR(M72&lt;&gt;0,N72&lt;&gt;0),B72,"-"),IF($L$4="m",IF(OR(M72&lt;&gt;0,N72&lt;&gt;0),MAX(L$8:L71)+1,"-"),"-")))</f>
        <v>142</v>
      </c>
      <c r="M72" s="147">
        <f>IF($E72="calc",ROUND(-SUMIFS(DATA!$Y:$Y,DATA!$C:$C,INDEX!$D$11,DATA!$N:$N,$C72,DATA!$S:$S,$B72),0)+P72,SUMIFS(M:M,$D:$D,$E72))</f>
        <v>0</v>
      </c>
      <c r="N72" s="148">
        <f>IF($E72="calc",ROUND(-SUMIFS(DATA!$Y:$Y,DATA!$C:$C,INDEX!$E$11,DATA!$N:$N,$C72,DATA!$S:$S,$B72),0)+Q72,SUMIFS(N:N,$D:$D,$E72))</f>
        <v>0</v>
      </c>
      <c r="O72" s="770"/>
      <c r="P72" s="739"/>
      <c r="Q72" s="740"/>
    </row>
    <row r="73" spans="1:17" ht="7.5" customHeight="1" x14ac:dyDescent="0.3"/>
  </sheetData>
  <sheetProtection algorithmName="SHA-512" hashValue="mONVjTffuM5B/NJEtc5u1D5B3IjRYODrcW8AGlFi2ewbdWPR1mUObHZbeIIHcgGmDdwKM6SmQsSbkmmOdI5+2A==" saltValue="2OEn8K2hviv1mVtJIHWhxg==" spinCount="100000" sheet="1" objects="1" scenarios="1" autoFilter="0"/>
  <autoFilter ref="L7:L72" xr:uid="{00000000-0009-0000-0000-000004000000}"/>
  <mergeCells count="6">
    <mergeCell ref="O69:O72"/>
    <mergeCell ref="G5:I5"/>
    <mergeCell ref="G7:I7"/>
    <mergeCell ref="M5:M6"/>
    <mergeCell ref="N5:N6"/>
    <mergeCell ref="O26:O30"/>
  </mergeCells>
  <conditionalFormatting sqref="P7:Q7">
    <cfRule type="cellIs" dxfId="116" priority="20" operator="equal">
      <formula>0</formula>
    </cfRule>
  </conditionalFormatting>
  <conditionalFormatting sqref="P11:Q13 P15:Q15 P17:Q21 P23:Q24 P26:Q27 P32:Q35 P39:Q47 P49:Q51 P54:Q61 P63:Q69 P71:Q72">
    <cfRule type="expression" dxfId="115" priority="19">
      <formula>P$7&lt;&gt;0</formula>
    </cfRule>
  </conditionalFormatting>
  <pageMargins left="0.39370078740157483" right="0.39370078740157483" top="0.19685039370078741" bottom="0.39370078740157483" header="0" footer="0"/>
  <pageSetup paperSize="9" scale="65" fitToHeight="0" orientation="portrait" r:id="rId1"/>
  <headerFooter scaleWithDoc="0"/>
  <rowBreaks count="1" manualBreakCount="1">
    <brk id="29" min="6" max="14" man="1"/>
  </rowBreaks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6">
    <tabColor theme="0" tint="-0.499984740745262"/>
  </sheetPr>
  <dimension ref="A1:S64"/>
  <sheetViews>
    <sheetView showGridLines="0" showZeros="0" topLeftCell="F1" zoomScale="80" zoomScaleNormal="80" workbookViewId="0">
      <pane ySplit="7" topLeftCell="A58" activePane="bottomLeft" state="frozen"/>
      <selection activeCell="L38" sqref="L38"/>
      <selection pane="bottomLeft" activeCell="M63" sqref="M63"/>
    </sheetView>
  </sheetViews>
  <sheetFormatPr defaultColWidth="0" defaultRowHeight="23.4" zeroHeight="1" x14ac:dyDescent="0.3"/>
  <cols>
    <col min="1" max="1" width="2.88671875" style="445" hidden="1" customWidth="1"/>
    <col min="2" max="2" width="4.109375" style="445" hidden="1" customWidth="1"/>
    <col min="3" max="3" width="8" style="429" hidden="1" customWidth="1"/>
    <col min="4" max="4" width="7.88671875" style="428" hidden="1" customWidth="1"/>
    <col min="5" max="5" width="3.88671875" style="428" hidden="1" customWidth="1"/>
    <col min="6" max="6" width="2.88671875" style="18" customWidth="1"/>
    <col min="7" max="7" width="2.88671875" style="407" customWidth="1"/>
    <col min="8" max="10" width="2.88671875" style="125" customWidth="1"/>
    <col min="11" max="11" width="75.6640625" style="125" customWidth="1"/>
    <col min="12" max="12" width="6.44140625" style="125" customWidth="1"/>
    <col min="13" max="14" width="28.6640625" style="125" customWidth="1"/>
    <col min="15" max="15" width="2.6640625" style="12" customWidth="1"/>
    <col min="16" max="17" width="4.6640625" style="11" customWidth="1"/>
    <col min="18" max="18" width="2.6640625" style="11" customWidth="1"/>
    <col min="19" max="19" width="0" style="11" hidden="1" customWidth="1"/>
    <col min="20" max="16384" width="9.109375" style="11" hidden="1"/>
  </cols>
  <sheetData>
    <row r="1" spans="1:17" s="10" customFormat="1" ht="25.8" x14ac:dyDescent="0.5">
      <c r="A1" s="444"/>
      <c r="B1" s="444"/>
      <c r="C1" s="426"/>
      <c r="D1" s="425"/>
      <c r="E1" s="425"/>
      <c r="F1" s="16"/>
      <c r="G1" s="403" t="str">
        <f>IF(jazyk="česky","VÝKAZ ZISKU A ZTRÁTY",IF(jazyk="anglicky","INCOME STATEMENT classification by nature",IF(jazyk="německy","GEWINN- UND VERLUSTRECHNUNG   Gesamtkostenverfahren","-")))</f>
        <v>VÝKAZ ZISKU A ZTRÁTY</v>
      </c>
      <c r="H1" s="52"/>
      <c r="I1" s="52"/>
      <c r="J1" s="52"/>
      <c r="K1" s="52"/>
      <c r="L1" s="53"/>
      <c r="M1" s="448"/>
      <c r="N1" s="129">
        <f>INDEX!C6</f>
        <v>0</v>
      </c>
      <c r="O1" s="9"/>
    </row>
    <row r="2" spans="1:17" ht="15.6" x14ac:dyDescent="0.3">
      <c r="F2" s="21"/>
      <c r="G2" s="404" t="str">
        <f>CONCATENATE(IF(jazyk="česky","ke dni",IF(jazyk="anglicky","as at",IF(jazyk="německy","zum","-"))),"   ",DAY(INDEX!D11),".",MONTH(INDEX!D11),".",YEAR(INDEX!D11))</f>
        <v>ke dni   31.12.2025</v>
      </c>
      <c r="H2" s="394"/>
      <c r="I2" s="394"/>
      <c r="J2" s="394"/>
      <c r="K2" s="55"/>
      <c r="L2" s="56"/>
      <c r="M2" s="57"/>
      <c r="N2" s="58">
        <f>INDEX!C8</f>
        <v>0</v>
      </c>
    </row>
    <row r="3" spans="1:17" ht="15.6" x14ac:dyDescent="0.3">
      <c r="F3" s="22"/>
      <c r="G3" s="404" t="str">
        <f>CONCATENATE("(",VLOOKUP(zaokr,INDEX!I17:J18,2,0),")")</f>
        <v>(v celých tisících Kč)</v>
      </c>
      <c r="H3" s="395"/>
      <c r="I3" s="395"/>
      <c r="J3" s="395"/>
      <c r="K3" s="57"/>
      <c r="L3" s="59"/>
      <c r="M3" s="60"/>
      <c r="N3" s="61">
        <f>INDEX!C4</f>
        <v>0</v>
      </c>
    </row>
    <row r="4" spans="1:17" ht="24" thickBot="1" x14ac:dyDescent="0.35">
      <c r="F4" s="17"/>
      <c r="G4" s="405"/>
      <c r="H4" s="395"/>
      <c r="I4" s="395"/>
      <c r="J4" s="395"/>
      <c r="K4" s="57"/>
      <c r="L4" s="659" t="s">
        <v>1281</v>
      </c>
      <c r="M4" s="57"/>
      <c r="N4" s="57"/>
    </row>
    <row r="5" spans="1:17" x14ac:dyDescent="0.3">
      <c r="G5" s="771" t="str">
        <f>IF(jazyk="česky","Označení",IF(jazyk="anglicky","Ident.",IF(jazyk="německy","Ident.","-")))</f>
        <v>Označení</v>
      </c>
      <c r="H5" s="785"/>
      <c r="I5" s="785"/>
      <c r="J5" s="786"/>
      <c r="K5" s="62" t="str">
        <f>IF(jazyk="česky","TEXT",IF(jazyk="anglicky","Ident.",IF(jazyk="německy","Ident.","-")))</f>
        <v>TEXT</v>
      </c>
      <c r="L5" s="63" t="str">
        <f>IF(jazyk="česky","Číslo",IF(jazyk="anglicky"," ",IF(jazyk="německy"," ","-")))</f>
        <v>Číslo</v>
      </c>
      <c r="M5" s="775" t="str">
        <f>IF(jazyk="česky","Skutečnost v účetním období",IF(jazyk="anglicky","Accounting Period",IF(jazyk="německy"," ","-")))</f>
        <v>Skutečnost v účetním období</v>
      </c>
      <c r="N5" s="790"/>
      <c r="O5" s="11"/>
      <c r="P5" s="285">
        <f>-(ROUND(SUMIFS(DATA!$Y:$Y,DATA!$C:$C,INDEX!$D$11,DATA!$M:$M,"Výsledovka"),0)+M62)-SUM(P8:P63)</f>
        <v>0</v>
      </c>
      <c r="Q5" s="285">
        <f>-(ROUND(SUMIFS(DATA!$Y:$Y,DATA!$C:$C,INDEX!$E$11,DATA!$M:$M,"Výsledovka"),0)+N62)-SUM(Q8:Q63)</f>
        <v>0</v>
      </c>
    </row>
    <row r="6" spans="1:17" ht="12.75" customHeight="1" x14ac:dyDescent="0.3">
      <c r="F6" s="23"/>
      <c r="G6" s="406"/>
      <c r="H6" s="396"/>
      <c r="I6" s="396"/>
      <c r="J6" s="397"/>
      <c r="K6" s="67"/>
      <c r="L6" s="68" t="str">
        <f>IF(jazyk="česky","řádku",IF(jazyk="anglicky","Line",IF(jazyk="německy","Zeile","-")))</f>
        <v>řádku</v>
      </c>
      <c r="M6" s="69" t="str">
        <f>IF(jazyk="česky","běžném",IF(jazyk="anglicky","current",IF(jazyk="německy","Laufende periode","-")))</f>
        <v>běžném</v>
      </c>
      <c r="N6" s="70" t="str">
        <f>IF(jazyk="česky","minulém",IF(jazyk="anglicky","prior",IF(jazyk="německy","Vorjahr","-")))</f>
        <v>minulém</v>
      </c>
      <c r="O6" s="11"/>
      <c r="P6" s="286" t="s">
        <v>349</v>
      </c>
      <c r="Q6" s="286" t="s">
        <v>350</v>
      </c>
    </row>
    <row r="7" spans="1:17" ht="13.5" customHeight="1" thickBot="1" x14ac:dyDescent="0.35">
      <c r="D7" s="428" t="s">
        <v>677</v>
      </c>
      <c r="E7" s="428" t="s">
        <v>1007</v>
      </c>
      <c r="F7" s="23"/>
      <c r="G7" s="787" t="s">
        <v>259</v>
      </c>
      <c r="H7" s="788"/>
      <c r="I7" s="788"/>
      <c r="J7" s="789"/>
      <c r="K7" s="71" t="s">
        <v>237</v>
      </c>
      <c r="L7" s="72" t="s">
        <v>238</v>
      </c>
      <c r="M7" s="73">
        <v>1</v>
      </c>
      <c r="N7" s="74">
        <v>2</v>
      </c>
      <c r="O7" s="11"/>
      <c r="P7" s="762">
        <f>-(ROUND(SUMIFS(DATA!$Y:$Y,DATA!$C:$C,INDEX!$D$11,DATA!$M:$M,"Výsledovka"),0)+M62)</f>
        <v>0</v>
      </c>
      <c r="Q7" s="762">
        <f>-(ROUND(SUMIFS(DATA!$Y:$Y,DATA!$C:$C,INDEX!$E$11,DATA!$M:$M,"Výsledovka"),0)+N62)</f>
        <v>0</v>
      </c>
    </row>
    <row r="8" spans="1:17" ht="25.8" x14ac:dyDescent="0.3">
      <c r="A8" s="445">
        <v>-1</v>
      </c>
      <c r="B8" s="660">
        <v>1</v>
      </c>
      <c r="C8" s="429" t="s">
        <v>515</v>
      </c>
      <c r="D8" s="428" t="s">
        <v>1065</v>
      </c>
      <c r="E8" s="428" t="s">
        <v>1006</v>
      </c>
      <c r="F8" s="27"/>
      <c r="G8" s="591" t="s">
        <v>241</v>
      </c>
      <c r="H8" s="592"/>
      <c r="I8" s="592"/>
      <c r="J8" s="593"/>
      <c r="K8" s="594" t="str">
        <f>VLOOKUP(B8,'radky_V'!A:M,13,0)</f>
        <v>Tržby za prodej výrobků a služeb</v>
      </c>
      <c r="L8" s="595">
        <f>IF($L$4="f",B8,IF($L$4="z",IF(OR(M8&lt;&gt;0,N8&lt;&gt;0),B8,"-"),IF($L$4="m",IF(OR(M8&lt;&gt;0,N8&lt;&gt;0),1,"-"),"-")))</f>
        <v>1</v>
      </c>
      <c r="M8" s="411">
        <f>IF($E8="calc",ROUND($A8*SUMIFS(DATA!$Y:$Y,DATA!$C:$C,INDEX!$D$11,DATA!$N:$N,$C8,DATA!$S:$S,$B8),0)+P8,SUMIFS(M:M,$D:$D,E8))</f>
        <v>0</v>
      </c>
      <c r="N8" s="412">
        <f>IF($E8="calc",ROUND($A8*SUMIFS(DATA!$Y:$Y,DATA!$C:$C,INDEX!$E$11,DATA!$N:$N,$C8,DATA!$S:$S,$B8),0)+Q8,SUMIFS(N:N,$D:$D,E8))</f>
        <v>0</v>
      </c>
      <c r="O8" s="11"/>
      <c r="P8" s="282"/>
      <c r="Q8" s="282"/>
    </row>
    <row r="9" spans="1:17" ht="25.8" x14ac:dyDescent="0.3">
      <c r="A9" s="445">
        <v>-1</v>
      </c>
      <c r="B9" s="660">
        <v>2</v>
      </c>
      <c r="C9" s="429" t="s">
        <v>515</v>
      </c>
      <c r="D9" s="428" t="s">
        <v>1065</v>
      </c>
      <c r="E9" s="428" t="s">
        <v>1006</v>
      </c>
      <c r="F9" s="27"/>
      <c r="G9" s="596" t="s">
        <v>251</v>
      </c>
      <c r="H9" s="597"/>
      <c r="I9" s="597"/>
      <c r="J9" s="598"/>
      <c r="K9" s="599" t="str">
        <f>VLOOKUP(B9,'radky_V'!A:M,13,0)</f>
        <v xml:space="preserve">Tržby za prodej zboží </v>
      </c>
      <c r="L9" s="600">
        <f>IF($L$4="f",B9,IF($L$4="z",IF(OR(M9&lt;&gt;0,N9&lt;&gt;0),B9,"-"),IF($L$4="m",IF(OR(M9&lt;&gt;0,N9&lt;&gt;0),MAX($L$8:L8)+1,"-"),"-")))</f>
        <v>2</v>
      </c>
      <c r="M9" s="413">
        <f>IF($E9="calc",ROUND($A9*SUMIFS(DATA!$Y:$Y,DATA!$C:$C,INDEX!$D$11,DATA!$N:$N,$C9,DATA!$S:$S,$B9),0)+P9,SUMIFS(M:M,$D:$D,E9))</f>
        <v>0</v>
      </c>
      <c r="N9" s="414">
        <f>IF($E9="calc",ROUND($A9*SUMIFS(DATA!$Y:$Y,DATA!$C:$C,INDEX!$E$11,DATA!$N:$N,$C9,DATA!$S:$S,$B9),0)+Q9,SUMIFS(N:N,$D:$D,E9))</f>
        <v>0</v>
      </c>
      <c r="O9" s="11"/>
      <c r="P9" s="282"/>
      <c r="Q9" s="282"/>
    </row>
    <row r="10" spans="1:17" ht="26.25" customHeight="1" x14ac:dyDescent="0.3">
      <c r="A10" s="445">
        <v>1</v>
      </c>
      <c r="B10" s="660">
        <v>3</v>
      </c>
      <c r="C10" s="429" t="s">
        <v>513</v>
      </c>
      <c r="D10" s="428" t="s">
        <v>1065</v>
      </c>
      <c r="E10" s="428" t="s">
        <v>239</v>
      </c>
      <c r="F10" s="27"/>
      <c r="G10" s="601" t="s">
        <v>239</v>
      </c>
      <c r="H10" s="602"/>
      <c r="I10" s="602"/>
      <c r="J10" s="603"/>
      <c r="K10" s="604" t="str">
        <f>VLOOKUP(B10,'radky_V'!A:M,13,0)</f>
        <v>Výkonová spotřeba</v>
      </c>
      <c r="L10" s="605">
        <f>IF($L$4="f",B10,IF($L$4="z",IF(OR(M10&lt;&gt;0,N10&lt;&gt;0),B10,"-"),IF($L$4="m",IF(OR(M10&lt;&gt;0,N10&lt;&gt;0),MAX($L$8:L9)+1,"-"),"-")))</f>
        <v>3</v>
      </c>
      <c r="M10" s="415">
        <f>IF($E10="calc",ROUND($A10*SUMIFS(DATA!$Y:$Y,DATA!$C:$C,INDEX!$D$11,DATA!$N:$N,$C10,DATA!$S:$S,$B10),0)+P10,SUMIFS(M:M,$D:$D,E10))</f>
        <v>0</v>
      </c>
      <c r="N10" s="416">
        <f>IF($E10="calc",ROUND($A10*SUMIFS(DATA!$Y:$Y,DATA!$C:$C,INDEX!$E$11,DATA!$N:$N,$C10,DATA!$S:$S,$B10),0)+Q10,SUMIFS(N:N,$D:$D,E10))</f>
        <v>0</v>
      </c>
      <c r="O10" s="11"/>
      <c r="P10" s="763"/>
      <c r="Q10" s="763"/>
    </row>
    <row r="11" spans="1:17" ht="25.8" x14ac:dyDescent="0.3">
      <c r="A11" s="445">
        <v>1</v>
      </c>
      <c r="B11" s="660">
        <v>4</v>
      </c>
      <c r="C11" s="429" t="s">
        <v>513</v>
      </c>
      <c r="D11" s="428" t="str">
        <f>IF(G11&gt;0,G11,IF(H11&gt;0,H11,D10))</f>
        <v>A.</v>
      </c>
      <c r="E11" s="428" t="s">
        <v>1006</v>
      </c>
      <c r="F11" s="27"/>
      <c r="G11" s="606"/>
      <c r="H11" s="607" t="s">
        <v>239</v>
      </c>
      <c r="I11" s="607" t="s">
        <v>242</v>
      </c>
      <c r="J11" s="607"/>
      <c r="K11" s="608" t="str">
        <f>VLOOKUP(B11,'radky_V'!A:M,13,0)</f>
        <v>Náklady vynaložené na prodané zboží</v>
      </c>
      <c r="L11" s="609">
        <f>IF($L$4="f",B11,IF($L$4="z",IF(OR(M11&lt;&gt;0,N11&lt;&gt;0),B11,"-"),IF($L$4="m",IF(OR(M11&lt;&gt;0,N11&lt;&gt;0),MAX($L$8:L10)+1,"-"),"-")))</f>
        <v>4</v>
      </c>
      <c r="M11" s="398">
        <f>IF($E11="calc",ROUND($A11*SUMIFS(DATA!$Y:$Y,DATA!$C:$C,INDEX!$D$11,DATA!$N:$N,$C11,DATA!$S:$S,$B11),0)+P11,SUMIFS(M:M,$D:$D,E11))</f>
        <v>0</v>
      </c>
      <c r="N11" s="399">
        <f>IF($E11="calc",ROUND($A11*SUMIFS(DATA!$Y:$Y,DATA!$C:$C,INDEX!$E$11,DATA!$N:$N,$C11,DATA!$S:$S,$B11),0)+Q11,SUMIFS(N:N,$D:$D,E11))</f>
        <v>0</v>
      </c>
      <c r="O11" s="11"/>
      <c r="P11" s="282"/>
      <c r="Q11" s="282"/>
    </row>
    <row r="12" spans="1:17" ht="25.8" x14ac:dyDescent="0.3">
      <c r="A12" s="445">
        <v>1</v>
      </c>
      <c r="B12" s="660">
        <v>5</v>
      </c>
      <c r="C12" s="429" t="s">
        <v>513</v>
      </c>
      <c r="D12" s="428" t="str">
        <f>IF(G12&gt;0,G12,IF(H12&gt;0,H12,D11))</f>
        <v>A.</v>
      </c>
      <c r="E12" s="428" t="s">
        <v>1006</v>
      </c>
      <c r="F12" s="27"/>
      <c r="G12" s="606"/>
      <c r="H12" s="607" t="s">
        <v>239</v>
      </c>
      <c r="I12" s="607" t="s">
        <v>243</v>
      </c>
      <c r="J12" s="607"/>
      <c r="K12" s="608" t="str">
        <f>VLOOKUP(B12,'radky_V'!A:M,13,0)</f>
        <v>Spotřeba materiálu a energie</v>
      </c>
      <c r="L12" s="609">
        <f>IF($L$4="f",B12,IF($L$4="z",IF(OR(M12&lt;&gt;0,N12&lt;&gt;0),B12,"-"),IF($L$4="m",IF(OR(M12&lt;&gt;0,N12&lt;&gt;0),MAX($L$8:L11)+1,"-"),"-")))</f>
        <v>5</v>
      </c>
      <c r="M12" s="398">
        <f>IF($E12="calc",ROUND($A12*SUMIFS(DATA!$Y:$Y,DATA!$C:$C,INDEX!$D$11,DATA!$N:$N,$C12,DATA!$S:$S,$B12),0)+P12,SUMIFS(M:M,$D:$D,E12))</f>
        <v>0</v>
      </c>
      <c r="N12" s="399">
        <f>IF($E12="calc",ROUND($A12*SUMIFS(DATA!$Y:$Y,DATA!$C:$C,INDEX!$E$11,DATA!$N:$N,$C12,DATA!$S:$S,$B12),0)+Q12,SUMIFS(N:N,$D:$D,E12))</f>
        <v>0</v>
      </c>
      <c r="O12" s="11"/>
      <c r="P12" s="282"/>
      <c r="Q12" s="282"/>
    </row>
    <row r="13" spans="1:17" ht="25.8" x14ac:dyDescent="0.3">
      <c r="A13" s="445">
        <v>1</v>
      </c>
      <c r="B13" s="660">
        <v>6</v>
      </c>
      <c r="C13" s="429" t="s">
        <v>513</v>
      </c>
      <c r="D13" s="428" t="str">
        <f>IF(G13&gt;0,G13,IF(H13&gt;0,H13,D12))</f>
        <v>A.</v>
      </c>
      <c r="E13" s="428" t="s">
        <v>1006</v>
      </c>
      <c r="F13" s="27"/>
      <c r="G13" s="610"/>
      <c r="H13" s="611" t="s">
        <v>239</v>
      </c>
      <c r="I13" s="611" t="s">
        <v>244</v>
      </c>
      <c r="J13" s="611"/>
      <c r="K13" s="612" t="str">
        <f>VLOOKUP(B13,'radky_V'!A:M,13,0)</f>
        <v>Služby</v>
      </c>
      <c r="L13" s="613">
        <f>IF($L$4="f",B13,IF($L$4="z",IF(OR(M13&lt;&gt;0,N13&lt;&gt;0),B13,"-"),IF($L$4="m",IF(OR(M13&lt;&gt;0,N13&lt;&gt;0),MAX($L$8:L12)+1,"-"),"-")))</f>
        <v>6</v>
      </c>
      <c r="M13" s="400">
        <f>IF($E13="calc",ROUND($A13*SUMIFS(DATA!$Y:$Y,DATA!$C:$C,INDEX!$D$11,DATA!$N:$N,$C13,DATA!$S:$S,$B13),0)+P13,SUMIFS(M:M,$D:$D,E13))</f>
        <v>0</v>
      </c>
      <c r="N13" s="401">
        <f>IF($E13="calc",ROUND($A13*SUMIFS(DATA!$Y:$Y,DATA!$C:$C,INDEX!$E$11,DATA!$N:$N,$C13,DATA!$S:$S,$B13),0)+Q13,SUMIFS(N:N,$D:$D,E13))</f>
        <v>0</v>
      </c>
      <c r="O13" s="11"/>
      <c r="P13" s="282"/>
      <c r="Q13" s="282"/>
    </row>
    <row r="14" spans="1:17" ht="25.8" x14ac:dyDescent="0.3">
      <c r="A14" s="445">
        <v>1</v>
      </c>
      <c r="B14" s="660">
        <v>7</v>
      </c>
      <c r="C14" s="429" t="s">
        <v>513</v>
      </c>
      <c r="D14" s="428" t="s">
        <v>1065</v>
      </c>
      <c r="E14" s="428" t="s">
        <v>1006</v>
      </c>
      <c r="F14" s="27"/>
      <c r="G14" s="596" t="s">
        <v>240</v>
      </c>
      <c r="H14" s="597"/>
      <c r="I14" s="597"/>
      <c r="J14" s="598"/>
      <c r="K14" s="599" t="str">
        <f>VLOOKUP(B14,'radky_V'!A:M,13,0)</f>
        <v>Změna stavu zásob vlastní činnosti (+/-)</v>
      </c>
      <c r="L14" s="600">
        <f>IF($L$4="f",B14,IF($L$4="z",IF(OR(M14&lt;&gt;0,N14&lt;&gt;0),B14,"-"),IF($L$4="m",IF(OR(M14&lt;&gt;0,N14&lt;&gt;0),MAX($L$8:L13)+1,"-"),"-")))</f>
        <v>7</v>
      </c>
      <c r="M14" s="413">
        <f>IF($E14="calc",ROUND($A14*SUMIFS(DATA!$Y:$Y,DATA!$C:$C,INDEX!$D$11,DATA!$N:$N,$C14,DATA!$S:$S,$B14),0)+P14,SUMIFS(M:M,$D:$D,E14))</f>
        <v>0</v>
      </c>
      <c r="N14" s="414">
        <f>IF($E14="calc",ROUND($A14*SUMIFS(DATA!$Y:$Y,DATA!$C:$C,INDEX!$E$11,DATA!$N:$N,$C14,DATA!$S:$S,$B14),0)+Q14,SUMIFS(N:N,$D:$D,E14))</f>
        <v>0</v>
      </c>
      <c r="O14" s="11"/>
      <c r="P14" s="282"/>
      <c r="Q14" s="282"/>
    </row>
    <row r="15" spans="1:17" ht="25.8" x14ac:dyDescent="0.3">
      <c r="A15" s="445">
        <v>1</v>
      </c>
      <c r="B15" s="660">
        <v>8</v>
      </c>
      <c r="C15" s="429" t="s">
        <v>513</v>
      </c>
      <c r="D15" s="428" t="s">
        <v>1065</v>
      </c>
      <c r="E15" s="428" t="s">
        <v>1006</v>
      </c>
      <c r="F15" s="27"/>
      <c r="G15" s="596" t="s">
        <v>265</v>
      </c>
      <c r="H15" s="597"/>
      <c r="I15" s="597"/>
      <c r="J15" s="598"/>
      <c r="K15" s="599" t="str">
        <f>VLOOKUP(B15,'radky_V'!A:M,13,0)</f>
        <v>Aktivace (-)</v>
      </c>
      <c r="L15" s="600">
        <f>IF($L$4="f",B15,IF($L$4="z",IF(OR(M15&lt;&gt;0,N15&lt;&gt;0),B15,"-"),IF($L$4="m",IF(OR(M15&lt;&gt;0,N15&lt;&gt;0),MAX($L$8:L14)+1,"-"),"-")))</f>
        <v>8</v>
      </c>
      <c r="M15" s="413">
        <f>IF($E15="calc",ROUND($A15*SUMIFS(DATA!$Y:$Y,DATA!$C:$C,INDEX!$D$11,DATA!$N:$N,$C15,DATA!$S:$S,$B15),0)+P15,SUMIFS(M:M,$D:$D,E15))</f>
        <v>0</v>
      </c>
      <c r="N15" s="414">
        <f>IF($E15="calc",ROUND($A15*SUMIFS(DATA!$Y:$Y,DATA!$C:$C,INDEX!$E$11,DATA!$N:$N,$C15,DATA!$S:$S,$B15),0)+Q15,SUMIFS(N:N,$D:$D,E15))</f>
        <v>0</v>
      </c>
      <c r="O15" s="11"/>
      <c r="P15" s="282"/>
      <c r="Q15" s="282"/>
    </row>
    <row r="16" spans="1:17" ht="26.25" customHeight="1" x14ac:dyDescent="0.3">
      <c r="A16" s="445">
        <v>1</v>
      </c>
      <c r="B16" s="660">
        <v>9</v>
      </c>
      <c r="C16" s="429" t="s">
        <v>513</v>
      </c>
      <c r="D16" s="428" t="s">
        <v>1065</v>
      </c>
      <c r="E16" s="428" t="s">
        <v>274</v>
      </c>
      <c r="F16" s="27"/>
      <c r="G16" s="601" t="s">
        <v>274</v>
      </c>
      <c r="H16" s="602"/>
      <c r="I16" s="602"/>
      <c r="J16" s="603"/>
      <c r="K16" s="604" t="str">
        <f>VLOOKUP(B16,'radky_V'!A:M,13,0)</f>
        <v>Osobní náklady</v>
      </c>
      <c r="L16" s="605">
        <f>IF($L$4="f",B16,IF($L$4="z",IF(OR(M16&lt;&gt;0,N16&lt;&gt;0),B16,"-"),IF($L$4="m",IF(OR(M16&lt;&gt;0,N16&lt;&gt;0),MAX($L$8:L15)+1,"-"),"-")))</f>
        <v>9</v>
      </c>
      <c r="M16" s="415">
        <f>IF($E16="calc",ROUND($A16*SUMIFS(DATA!$Y:$Y,DATA!$C:$C,INDEX!$D$11,DATA!$N:$N,$C16,DATA!$S:$S,$B16),0)+P16,SUMIFS(M:M,$D:$D,E16))</f>
        <v>0</v>
      </c>
      <c r="N16" s="416">
        <f>IF($E16="calc",ROUND($A16*SUMIFS(DATA!$Y:$Y,DATA!$C:$C,INDEX!$E$11,DATA!$N:$N,$C16,DATA!$S:$S,$B16),0)+Q16,SUMIFS(N:N,$D:$D,E16))</f>
        <v>0</v>
      </c>
      <c r="O16" s="11"/>
      <c r="P16" s="763"/>
      <c r="Q16" s="763"/>
    </row>
    <row r="17" spans="1:17" ht="25.8" x14ac:dyDescent="0.3">
      <c r="A17" s="445">
        <v>1</v>
      </c>
      <c r="B17" s="660">
        <v>10</v>
      </c>
      <c r="C17" s="429" t="s">
        <v>513</v>
      </c>
      <c r="D17" s="428" t="s">
        <v>274</v>
      </c>
      <c r="E17" s="428" t="s">
        <v>1006</v>
      </c>
      <c r="F17" s="27"/>
      <c r="G17" s="606"/>
      <c r="H17" s="607" t="s">
        <v>274</v>
      </c>
      <c r="I17" s="607" t="s">
        <v>242</v>
      </c>
      <c r="J17" s="607"/>
      <c r="K17" s="608" t="str">
        <f>VLOOKUP(B17,'radky_V'!A:M,13,0)</f>
        <v>Mzdové náklady</v>
      </c>
      <c r="L17" s="609">
        <f>IF($L$4="f",B17,IF($L$4="z",IF(OR(M17&lt;&gt;0,N17&lt;&gt;0),B17,"-"),IF($L$4="m",IF(OR(M17&lt;&gt;0,N17&lt;&gt;0),MAX($L$8:L16)+1,"-"),"-")))</f>
        <v>10</v>
      </c>
      <c r="M17" s="398">
        <f>IF($E17="calc",ROUND($A17*SUMIFS(DATA!$Y:$Y,DATA!$C:$C,INDEX!$D$11,DATA!$N:$N,$C17,DATA!$S:$S,$B17),0)+P17,SUMIFS(M:M,$D:$D,E17))</f>
        <v>0</v>
      </c>
      <c r="N17" s="399">
        <f>IF($E17="calc",ROUND($A17*SUMIFS(DATA!$Y:$Y,DATA!$C:$C,INDEX!$E$11,DATA!$N:$N,$C17,DATA!$S:$S,$B17),0)+Q17,SUMIFS(N:N,$D:$D,E17))</f>
        <v>0</v>
      </c>
      <c r="O17" s="11"/>
      <c r="P17" s="282"/>
      <c r="Q17" s="282"/>
    </row>
    <row r="18" spans="1:17" ht="25.8" x14ac:dyDescent="0.3">
      <c r="A18" s="445">
        <v>1</v>
      </c>
      <c r="B18" s="660">
        <v>11</v>
      </c>
      <c r="C18" s="429" t="s">
        <v>513</v>
      </c>
      <c r="D18" s="428" t="s">
        <v>274</v>
      </c>
      <c r="E18" s="428" t="s">
        <v>1066</v>
      </c>
      <c r="F18" s="27"/>
      <c r="G18" s="606"/>
      <c r="H18" s="607" t="s">
        <v>274</v>
      </c>
      <c r="I18" s="607" t="s">
        <v>243</v>
      </c>
      <c r="J18" s="607"/>
      <c r="K18" s="608" t="str">
        <f>VLOOKUP(B18,'radky_V'!A:M,13,0)</f>
        <v>Náklady na sociální zabezpečení, zdravotní pojištění a ostatní náklady</v>
      </c>
      <c r="L18" s="609">
        <f>IF($L$4="f",B18,IF($L$4="z",IF(OR(M18&lt;&gt;0,N18&lt;&gt;0),B18,"-"),IF($L$4="m",IF(OR(M18&lt;&gt;0,N18&lt;&gt;0),MAX($L$8:L17)+1,"-"),"-")))</f>
        <v>11</v>
      </c>
      <c r="M18" s="398">
        <f>IF($E18="calc",ROUND($A18*SUMIFS(DATA!$Y:$Y,DATA!$C:$C,INDEX!$D$11,DATA!$N:$N,$C18,DATA!$S:$S,$B18),0)+P18,SUMIFS(M:M,$D:$D,E18))</f>
        <v>0</v>
      </c>
      <c r="N18" s="399">
        <f>IF($E18="calc",ROUND($A18*SUMIFS(DATA!$Y:$Y,DATA!$C:$C,INDEX!$E$11,DATA!$N:$N,$C18,DATA!$S:$S,$B18),0)+Q18,SUMIFS(N:N,$D:$D,E18))</f>
        <v>0</v>
      </c>
      <c r="O18" s="11"/>
      <c r="P18" s="763"/>
      <c r="Q18" s="763"/>
    </row>
    <row r="19" spans="1:17" s="367" customFormat="1" ht="25.8" x14ac:dyDescent="0.3">
      <c r="A19" s="445">
        <v>1</v>
      </c>
      <c r="B19" s="661">
        <v>12</v>
      </c>
      <c r="C19" s="429" t="s">
        <v>513</v>
      </c>
      <c r="D19" s="428" t="s">
        <v>1066</v>
      </c>
      <c r="E19" s="434" t="s">
        <v>1006</v>
      </c>
      <c r="F19" s="366"/>
      <c r="G19" s="614"/>
      <c r="H19" s="564"/>
      <c r="I19" s="564"/>
      <c r="J19" s="564" t="s">
        <v>242</v>
      </c>
      <c r="K19" s="615" t="str">
        <f>VLOOKUP(B19,'radky_V'!A:M,13,0)</f>
        <v>Náklady na sociální zabezpečení a zdravotní pojištění</v>
      </c>
      <c r="L19" s="616">
        <f>IF($L$4="f",B19,IF($L$4="z",IF(OR(M19&lt;&gt;0,N19&lt;&gt;0),B19,"-"),IF($L$4="m",IF(OR(M19&lt;&gt;0,N19&lt;&gt;0),MAX($L$8:L18)+1,"-"),"-")))</f>
        <v>12</v>
      </c>
      <c r="M19" s="438">
        <f>IF($E19="calc",ROUND($A19*SUMIFS(DATA!$Y:$Y,DATA!$C:$C,INDEX!$D$11,DATA!$N:$N,$C19,DATA!$S:$S,$B19),0)+P19,SUMIFS(M:M,$D:$D,E19))</f>
        <v>0</v>
      </c>
      <c r="N19" s="439">
        <f>IF($E19="calc",ROUND($A19*SUMIFS(DATA!$Y:$Y,DATA!$C:$C,INDEX!$E$11,DATA!$N:$N,$C19,DATA!$S:$S,$B19),0)+Q19,SUMIFS(N:N,$D:$D,E19))</f>
        <v>0</v>
      </c>
      <c r="P19" s="402"/>
      <c r="Q19" s="402"/>
    </row>
    <row r="20" spans="1:17" s="367" customFormat="1" ht="25.8" x14ac:dyDescent="0.3">
      <c r="A20" s="445">
        <v>1</v>
      </c>
      <c r="B20" s="661">
        <v>13</v>
      </c>
      <c r="C20" s="429" t="s">
        <v>513</v>
      </c>
      <c r="D20" s="428" t="s">
        <v>1066</v>
      </c>
      <c r="E20" s="434" t="s">
        <v>1006</v>
      </c>
      <c r="F20" s="366"/>
      <c r="G20" s="617"/>
      <c r="H20" s="618"/>
      <c r="I20" s="618"/>
      <c r="J20" s="618" t="s">
        <v>243</v>
      </c>
      <c r="K20" s="619" t="str">
        <f>VLOOKUP(B20,'radky_V'!A:M,13,0)</f>
        <v>Ostatní náklady</v>
      </c>
      <c r="L20" s="620">
        <f>IF($L$4="f",B20,IF($L$4="z",IF(OR(M20&lt;&gt;0,N20&lt;&gt;0),B20,"-"),IF($L$4="m",IF(OR(M20&lt;&gt;0,N20&lt;&gt;0),MAX($L$8:L19)+1,"-"),"-")))</f>
        <v>13</v>
      </c>
      <c r="M20" s="446">
        <f>IF($E20="calc",ROUND($A20*SUMIFS(DATA!$Y:$Y,DATA!$C:$C,INDEX!$D$11,DATA!$N:$N,$C20,DATA!$S:$S,$B20),0)+P20,SUMIFS(M:M,$D:$D,E20))</f>
        <v>0</v>
      </c>
      <c r="N20" s="447">
        <f>IF($E20="calc",ROUND($A20*SUMIFS(DATA!$Y:$Y,DATA!$C:$C,INDEX!$E$11,DATA!$N:$N,$C20,DATA!$S:$S,$B20),0)+Q20,SUMIFS(N:N,$D:$D,E20))</f>
        <v>0</v>
      </c>
      <c r="P20" s="402"/>
      <c r="Q20" s="402"/>
    </row>
    <row r="21" spans="1:17" ht="26.25" customHeight="1" x14ac:dyDescent="0.3">
      <c r="A21" s="445">
        <v>1</v>
      </c>
      <c r="B21" s="660">
        <v>14</v>
      </c>
      <c r="C21" s="429" t="s">
        <v>513</v>
      </c>
      <c r="D21" s="428" t="s">
        <v>1065</v>
      </c>
      <c r="E21" s="428" t="s">
        <v>311</v>
      </c>
      <c r="F21" s="27"/>
      <c r="G21" s="601" t="s">
        <v>311</v>
      </c>
      <c r="H21" s="602"/>
      <c r="I21" s="602"/>
      <c r="J21" s="603"/>
      <c r="K21" s="604" t="str">
        <f>VLOOKUP(B21,'radky_V'!A:M,13,0)</f>
        <v>Úpravy hodnot v provozní oblasti</v>
      </c>
      <c r="L21" s="605">
        <f>IF($L$4="f",B21,IF($L$4="z",IF(OR(M21&lt;&gt;0,N21&lt;&gt;0),B21,"-"),IF($L$4="m",IF(OR(M21&lt;&gt;0,N21&lt;&gt;0),MAX($L$8:L20)+1,"-"),"-")))</f>
        <v>14</v>
      </c>
      <c r="M21" s="415">
        <f>IF($E21="calc",ROUND($A21*SUMIFS(DATA!$Y:$Y,DATA!$C:$C,INDEX!$D$11,DATA!$N:$N,$C21,DATA!$S:$S,$B21),0)+P21,SUMIFS(M:M,$D:$D,E21))</f>
        <v>0</v>
      </c>
      <c r="N21" s="416">
        <f>IF($E21="calc",ROUND($A21*SUMIFS(DATA!$Y:$Y,DATA!$C:$C,INDEX!$E$11,DATA!$N:$N,$C21,DATA!$S:$S,$B21),0)+Q21,SUMIFS(N:N,$D:$D,E21))</f>
        <v>0</v>
      </c>
      <c r="O21" s="11"/>
      <c r="P21" s="763"/>
      <c r="Q21" s="763"/>
    </row>
    <row r="22" spans="1:17" ht="25.8" x14ac:dyDescent="0.3">
      <c r="A22" s="445">
        <v>1</v>
      </c>
      <c r="B22" s="660">
        <v>15</v>
      </c>
      <c r="C22" s="429" t="s">
        <v>513</v>
      </c>
      <c r="D22" s="428" t="s">
        <v>311</v>
      </c>
      <c r="E22" s="428" t="s">
        <v>1067</v>
      </c>
      <c r="F22" s="27"/>
      <c r="G22" s="606"/>
      <c r="H22" s="607" t="s">
        <v>311</v>
      </c>
      <c r="I22" s="607" t="s">
        <v>242</v>
      </c>
      <c r="J22" s="607"/>
      <c r="K22" s="608" t="str">
        <f>VLOOKUP(B22,'radky_V'!A:M,13,0)</f>
        <v>Úpravy hodnot dlouh. nehmotného a hmotného majetku</v>
      </c>
      <c r="L22" s="621">
        <f>IF($L$4="f",B22,IF($L$4="z",IF(OR(M22&lt;&gt;0,N22&lt;&gt;0),B22,"-"),IF($L$4="m",IF(OR(M22&lt;&gt;0,N22&lt;&gt;0),MAX($L$8:L21)+1,"-"),"-")))</f>
        <v>15</v>
      </c>
      <c r="M22" s="398">
        <f>IF($E22="calc",ROUND($A22*SUMIFS(DATA!$Y:$Y,DATA!$C:$C,INDEX!$D$11,DATA!$N:$N,$C22,DATA!$S:$S,$B22),0)+P22,SUMIFS(M:M,$D:$D,E22))</f>
        <v>0</v>
      </c>
      <c r="N22" s="399">
        <f>IF($E22="calc",ROUND($A22*SUMIFS(DATA!$Y:$Y,DATA!$C:$C,INDEX!$E$11,DATA!$N:$N,$C22,DATA!$S:$S,$B22),0)+Q22,SUMIFS(N:N,$D:$D,E22))</f>
        <v>0</v>
      </c>
      <c r="O22" s="11"/>
      <c r="P22" s="763"/>
      <c r="Q22" s="763"/>
    </row>
    <row r="23" spans="1:17" s="367" customFormat="1" ht="25.8" x14ac:dyDescent="0.3">
      <c r="A23" s="445">
        <v>1</v>
      </c>
      <c r="B23" s="661">
        <v>16</v>
      </c>
      <c r="C23" s="429" t="s">
        <v>513</v>
      </c>
      <c r="D23" s="428" t="s">
        <v>1067</v>
      </c>
      <c r="E23" s="434" t="s">
        <v>1006</v>
      </c>
      <c r="F23" s="366"/>
      <c r="G23" s="614"/>
      <c r="H23" s="564"/>
      <c r="I23" s="564"/>
      <c r="J23" s="564" t="s">
        <v>242</v>
      </c>
      <c r="K23" s="615" t="str">
        <f>VLOOKUP(B23,'radky_V'!A:M,13,0)</f>
        <v>Úpravy hodnot dlouh. nehmotného a hmotného majetku - trvalé</v>
      </c>
      <c r="L23" s="616">
        <f>IF($L$4="f",B23,IF($L$4="z",IF(OR(M23&lt;&gt;0,N23&lt;&gt;0),B23,"-"),IF($L$4="m",IF(OR(M23&lt;&gt;0,N23&lt;&gt;0),MAX($L$8:L22)+1,"-"),"-")))</f>
        <v>16</v>
      </c>
      <c r="M23" s="438">
        <f>IF($E23="calc",ROUND($A23*SUMIFS(DATA!$Y:$Y,DATA!$C:$C,INDEX!$D$11,DATA!$N:$N,$C23,DATA!$S:$S,$B23),0)+P23,SUMIFS(M:M,$D:$D,E23))</f>
        <v>0</v>
      </c>
      <c r="N23" s="439">
        <f>IF($E23="calc",ROUND($A23*SUMIFS(DATA!$Y:$Y,DATA!$C:$C,INDEX!$E$11,DATA!$N:$N,$C23,DATA!$S:$S,$B23),0)+Q23,SUMIFS(N:N,$D:$D,E23))</f>
        <v>0</v>
      </c>
      <c r="P23" s="402"/>
      <c r="Q23" s="402"/>
    </row>
    <row r="24" spans="1:17" s="367" customFormat="1" ht="25.8" x14ac:dyDescent="0.3">
      <c r="A24" s="445">
        <v>1</v>
      </c>
      <c r="B24" s="661">
        <v>17</v>
      </c>
      <c r="C24" s="429" t="s">
        <v>513</v>
      </c>
      <c r="D24" s="428" t="s">
        <v>1067</v>
      </c>
      <c r="E24" s="434" t="s">
        <v>1006</v>
      </c>
      <c r="F24" s="366"/>
      <c r="G24" s="614"/>
      <c r="H24" s="564"/>
      <c r="I24" s="564"/>
      <c r="J24" s="564" t="s">
        <v>243</v>
      </c>
      <c r="K24" s="615" t="str">
        <f>VLOOKUP(B24,'radky_V'!A:M,13,0)</f>
        <v>Úpravy hodnot dlouh. nehmotného a hmotného majetku - dočasné</v>
      </c>
      <c r="L24" s="616">
        <f>IF($L$4="f",B24,IF($L$4="z",IF(OR(M24&lt;&gt;0,N24&lt;&gt;0),B24,"-"),IF($L$4="m",IF(OR(M24&lt;&gt;0,N24&lt;&gt;0),MAX($L$8:L23)+1,"-"),"-")))</f>
        <v>17</v>
      </c>
      <c r="M24" s="438">
        <f>IF($E24="calc",ROUND($A24*SUMIFS(DATA!$Y:$Y,DATA!$C:$C,INDEX!$D$11,DATA!$N:$N,$C24,DATA!$S:$S,$B24),0)+P24,SUMIFS(M:M,$D:$D,E24))</f>
        <v>0</v>
      </c>
      <c r="N24" s="439">
        <f>IF($E24="calc",ROUND($A24*SUMIFS(DATA!$Y:$Y,DATA!$C:$C,INDEX!$E$11,DATA!$N:$N,$C24,DATA!$S:$S,$B24),0)+Q24,SUMIFS(N:N,$D:$D,E24))</f>
        <v>0</v>
      </c>
      <c r="P24" s="402"/>
      <c r="Q24" s="402"/>
    </row>
    <row r="25" spans="1:17" ht="25.8" x14ac:dyDescent="0.3">
      <c r="A25" s="445">
        <v>1</v>
      </c>
      <c r="B25" s="660">
        <v>18</v>
      </c>
      <c r="C25" s="429" t="s">
        <v>513</v>
      </c>
      <c r="D25" s="428" t="s">
        <v>311</v>
      </c>
      <c r="E25" s="428" t="s">
        <v>1006</v>
      </c>
      <c r="F25" s="27"/>
      <c r="G25" s="606"/>
      <c r="H25" s="607" t="s">
        <v>311</v>
      </c>
      <c r="I25" s="607" t="s">
        <v>243</v>
      </c>
      <c r="J25" s="607"/>
      <c r="K25" s="608" t="str">
        <f>VLOOKUP(B25,'radky_V'!A:M,13,0)</f>
        <v>Úpravy hodnot zásob</v>
      </c>
      <c r="L25" s="609">
        <f>IF($L$4="f",B25,IF($L$4="z",IF(OR(M25&lt;&gt;0,N25&lt;&gt;0),B25,"-"),IF($L$4="m",IF(OR(M25&lt;&gt;0,N25&lt;&gt;0),MAX($L$8:L24)+1,"-"),"-")))</f>
        <v>18</v>
      </c>
      <c r="M25" s="398">
        <f>IF($E25="calc",ROUND($A25*SUMIFS(DATA!$Y:$Y,DATA!$C:$C,INDEX!$D$11,DATA!$N:$N,$C25,DATA!$S:$S,$B25),0)+P25,SUMIFS(M:M,$D:$D,E25))</f>
        <v>0</v>
      </c>
      <c r="N25" s="399">
        <f>IF($E25="calc",ROUND($A25*SUMIFS(DATA!$Y:$Y,DATA!$C:$C,INDEX!$E$11,DATA!$N:$N,$C25,DATA!$S:$S,$B25),0)+Q25,SUMIFS(N:N,$D:$D,E25))</f>
        <v>0</v>
      </c>
      <c r="O25" s="11"/>
      <c r="P25" s="282"/>
      <c r="Q25" s="282"/>
    </row>
    <row r="26" spans="1:17" ht="25.8" x14ac:dyDescent="0.3">
      <c r="A26" s="445">
        <v>1</v>
      </c>
      <c r="B26" s="660">
        <v>19</v>
      </c>
      <c r="C26" s="429" t="s">
        <v>513</v>
      </c>
      <c r="D26" s="428" t="s">
        <v>311</v>
      </c>
      <c r="E26" s="428" t="s">
        <v>1006</v>
      </c>
      <c r="F26" s="27"/>
      <c r="G26" s="606"/>
      <c r="H26" s="607" t="s">
        <v>311</v>
      </c>
      <c r="I26" s="607" t="s">
        <v>244</v>
      </c>
      <c r="J26" s="607"/>
      <c r="K26" s="608" t="str">
        <f>VLOOKUP(B26,'radky_V'!A:M,13,0)</f>
        <v>Úpravy hodnot pohledávek</v>
      </c>
      <c r="L26" s="609">
        <f>IF($L$4="f",B26,IF($L$4="z",IF(OR(M26&lt;&gt;0,N26&lt;&gt;0),B26,"-"),IF($L$4="m",IF(OR(M26&lt;&gt;0,N26&lt;&gt;0),MAX($L$8:L25)+1,"-"),"-")))</f>
        <v>19</v>
      </c>
      <c r="M26" s="398">
        <f>IF($E26="calc",ROUND($A26*SUMIFS(DATA!$Y:$Y,DATA!$C:$C,INDEX!$D$11,DATA!$N:$N,$C26,DATA!$S:$S,$B26),0)+P26,SUMIFS(M:M,$D:$D,E26))</f>
        <v>0</v>
      </c>
      <c r="N26" s="399">
        <f>IF($E26="calc",ROUND($A26*SUMIFS(DATA!$Y:$Y,DATA!$C:$C,INDEX!$E$11,DATA!$N:$N,$C26,DATA!$S:$S,$B26),0)+Q26,SUMIFS(N:N,$D:$D,E26))</f>
        <v>0</v>
      </c>
      <c r="O26" s="11"/>
      <c r="P26" s="282"/>
      <c r="Q26" s="282"/>
    </row>
    <row r="27" spans="1:17" ht="26.25" customHeight="1" x14ac:dyDescent="0.3">
      <c r="A27" s="445">
        <v>-1</v>
      </c>
      <c r="B27" s="660">
        <v>20</v>
      </c>
      <c r="C27" s="429" t="s">
        <v>515</v>
      </c>
      <c r="D27" s="428" t="s">
        <v>1065</v>
      </c>
      <c r="E27" s="428" t="s">
        <v>256</v>
      </c>
      <c r="F27" s="27"/>
      <c r="G27" s="601" t="s">
        <v>256</v>
      </c>
      <c r="H27" s="602"/>
      <c r="I27" s="602"/>
      <c r="J27" s="603"/>
      <c r="K27" s="604" t="str">
        <f>VLOOKUP(B27,'radky_V'!A:M,13,0)</f>
        <v>Ostatní provozní výnosy</v>
      </c>
      <c r="L27" s="605">
        <f>IF($L$4="f",B27,IF($L$4="z",IF(OR(M27&lt;&gt;0,N27&lt;&gt;0),B27,"-"),IF($L$4="m",IF(OR(M27&lt;&gt;0,N27&lt;&gt;0),MAX($L$8:L26)+1,"-"),"-")))</f>
        <v>20</v>
      </c>
      <c r="M27" s="415">
        <f>IF($E27="calc",ROUND($A27*SUMIFS(DATA!$Y:$Y,DATA!$C:$C,INDEX!$D$11,DATA!$N:$N,$C27,DATA!$S:$S,$B27),0)+P27,SUMIFS(M:M,$D:$D,E27))</f>
        <v>0</v>
      </c>
      <c r="N27" s="416">
        <f>IF($E27="calc",ROUND($A27*SUMIFS(DATA!$Y:$Y,DATA!$C:$C,INDEX!$E$11,DATA!$N:$N,$C27,DATA!$S:$S,$B27),0)+Q27,SUMIFS(N:N,$D:$D,E27))</f>
        <v>0</v>
      </c>
      <c r="O27" s="11"/>
      <c r="P27" s="763"/>
      <c r="Q27" s="763"/>
    </row>
    <row r="28" spans="1:17" ht="25.8" x14ac:dyDescent="0.3">
      <c r="A28" s="445">
        <v>-1</v>
      </c>
      <c r="B28" s="660">
        <v>21</v>
      </c>
      <c r="C28" s="429" t="s">
        <v>515</v>
      </c>
      <c r="D28" s="428" t="s">
        <v>256</v>
      </c>
      <c r="E28" s="428" t="s">
        <v>1006</v>
      </c>
      <c r="F28" s="27"/>
      <c r="G28" s="606"/>
      <c r="H28" s="607" t="s">
        <v>256</v>
      </c>
      <c r="I28" s="607" t="s">
        <v>242</v>
      </c>
      <c r="J28" s="607"/>
      <c r="K28" s="608" t="str">
        <f>VLOOKUP(B28,'radky_V'!A:M,13,0)</f>
        <v xml:space="preserve">Tržby z prodaného dlouhodobého majetku </v>
      </c>
      <c r="L28" s="621">
        <f>IF($L$4="f",B28,IF($L$4="z",IF(OR(M28&lt;&gt;0,N28&lt;&gt;0),B28,"-"),IF($L$4="m",IF(OR(M28&lt;&gt;0,N28&lt;&gt;0),MAX($L$8:L27)+1,"-"),"-")))</f>
        <v>21</v>
      </c>
      <c r="M28" s="398">
        <f>IF($E28="calc",ROUND($A28*SUMIFS(DATA!$Y:$Y,DATA!$C:$C,INDEX!$D$11,DATA!$N:$N,$C28,DATA!$S:$S,$B28),0)+P28,SUMIFS(M:M,$D:$D,E28))</f>
        <v>0</v>
      </c>
      <c r="N28" s="399">
        <f>IF($E28="calc",ROUND($A28*SUMIFS(DATA!$Y:$Y,DATA!$C:$C,INDEX!$E$11,DATA!$N:$N,$C28,DATA!$S:$S,$B28),0)+Q28,SUMIFS(N:N,$D:$D,E28))</f>
        <v>0</v>
      </c>
      <c r="O28" s="11"/>
      <c r="P28" s="282"/>
      <c r="Q28" s="282"/>
    </row>
    <row r="29" spans="1:17" ht="25.8" x14ac:dyDescent="0.3">
      <c r="A29" s="445">
        <v>-1</v>
      </c>
      <c r="B29" s="660">
        <v>22</v>
      </c>
      <c r="C29" s="429" t="s">
        <v>515</v>
      </c>
      <c r="D29" s="428" t="s">
        <v>256</v>
      </c>
      <c r="E29" s="428" t="s">
        <v>1006</v>
      </c>
      <c r="F29" s="27"/>
      <c r="G29" s="606"/>
      <c r="H29" s="607" t="s">
        <v>256</v>
      </c>
      <c r="I29" s="607" t="s">
        <v>243</v>
      </c>
      <c r="J29" s="607"/>
      <c r="K29" s="608" t="str">
        <f>VLOOKUP(B29,'radky_V'!A:M,13,0)</f>
        <v>Tržby z prodaného materiálu</v>
      </c>
      <c r="L29" s="609">
        <f>IF($L$4="f",B29,IF($L$4="z",IF(OR(M29&lt;&gt;0,N29&lt;&gt;0),B29,"-"),IF($L$4="m",IF(OR(M29&lt;&gt;0,N29&lt;&gt;0),MAX($L$8:L28)+1,"-"),"-")))</f>
        <v>22</v>
      </c>
      <c r="M29" s="398">
        <f>IF($E29="calc",ROUND($A29*SUMIFS(DATA!$Y:$Y,DATA!$C:$C,INDEX!$D$11,DATA!$N:$N,$C29,DATA!$S:$S,$B29),0)+P29,SUMIFS(M:M,$D:$D,E29))</f>
        <v>0</v>
      </c>
      <c r="N29" s="399">
        <f>IF($E29="calc",ROUND($A29*SUMIFS(DATA!$Y:$Y,DATA!$C:$C,INDEX!$E$11,DATA!$N:$N,$C29,DATA!$S:$S,$B29),0)+Q29,SUMIFS(N:N,$D:$D,E29))</f>
        <v>0</v>
      </c>
      <c r="O29" s="11"/>
      <c r="P29" s="282"/>
      <c r="Q29" s="282"/>
    </row>
    <row r="30" spans="1:17" ht="25.8" x14ac:dyDescent="0.3">
      <c r="A30" s="445">
        <v>-1</v>
      </c>
      <c r="B30" s="660">
        <v>23</v>
      </c>
      <c r="C30" s="429" t="s">
        <v>515</v>
      </c>
      <c r="D30" s="428" t="s">
        <v>256</v>
      </c>
      <c r="E30" s="428" t="s">
        <v>1006</v>
      </c>
      <c r="F30" s="27"/>
      <c r="G30" s="606"/>
      <c r="H30" s="607" t="s">
        <v>256</v>
      </c>
      <c r="I30" s="607" t="s">
        <v>244</v>
      </c>
      <c r="J30" s="607"/>
      <c r="K30" s="608" t="str">
        <f>VLOOKUP(B30,'radky_V'!A:M,13,0)</f>
        <v>Jiné provozní výnosy</v>
      </c>
      <c r="L30" s="609">
        <f>IF($L$4="f",B30,IF($L$4="z",IF(OR(M30&lt;&gt;0,N30&lt;&gt;0),B30,"-"),IF($L$4="m",IF(OR(M30&lt;&gt;0,N30&lt;&gt;0),MAX($L$8:L29)+1,"-"),"-")))</f>
        <v>23</v>
      </c>
      <c r="M30" s="398">
        <f>IF($E30="calc",ROUND($A30*SUMIFS(DATA!$Y:$Y,DATA!$C:$C,INDEX!$D$11,DATA!$N:$N,$C30,DATA!$S:$S,$B30),0)+P30,SUMIFS(M:M,$D:$D,E30))</f>
        <v>0</v>
      </c>
      <c r="N30" s="399">
        <f>IF($E30="calc",ROUND($A30*SUMIFS(DATA!$Y:$Y,DATA!$C:$C,INDEX!$E$11,DATA!$N:$N,$C30,DATA!$S:$S,$B30),0)+Q30,SUMIFS(N:N,$D:$D,E30))</f>
        <v>0</v>
      </c>
      <c r="O30" s="11"/>
      <c r="P30" s="282"/>
      <c r="Q30" s="282"/>
    </row>
    <row r="31" spans="1:17" ht="26.25" customHeight="1" x14ac:dyDescent="0.3">
      <c r="A31" s="445">
        <v>1</v>
      </c>
      <c r="B31" s="660">
        <v>24</v>
      </c>
      <c r="C31" s="429" t="s">
        <v>513</v>
      </c>
      <c r="D31" s="428" t="s">
        <v>1065</v>
      </c>
      <c r="E31" s="428" t="s">
        <v>312</v>
      </c>
      <c r="F31" s="27"/>
      <c r="G31" s="601" t="s">
        <v>312</v>
      </c>
      <c r="H31" s="602"/>
      <c r="I31" s="602"/>
      <c r="J31" s="603"/>
      <c r="K31" s="604" t="str">
        <f>VLOOKUP(B31,'radky_V'!A:M,13,0)</f>
        <v>Ostatní provozní náklady</v>
      </c>
      <c r="L31" s="605">
        <f>IF($L$4="f",B31,IF($L$4="z",IF(OR(M31&lt;&gt;0,N31&lt;&gt;0),B31,"-"),IF($L$4="m",IF(OR(M31&lt;&gt;0,N31&lt;&gt;0),MAX($L$8:L30)+1,"-"),"-")))</f>
        <v>24</v>
      </c>
      <c r="M31" s="415">
        <f>IF($E31="calc",ROUND($A31*SUMIFS(DATA!$Y:$Y,DATA!$C:$C,INDEX!$D$11,DATA!$N:$N,$C31,DATA!$S:$S,$B31),0)+P31,SUMIFS(M:M,$D:$D,E31))</f>
        <v>0</v>
      </c>
      <c r="N31" s="416">
        <f>IF($E31="calc",ROUND($A31*SUMIFS(DATA!$Y:$Y,DATA!$C:$C,INDEX!$E$11,DATA!$N:$N,$C31,DATA!$S:$S,$B31),0)+Q31,SUMIFS(N:N,$D:$D,E31))</f>
        <v>0</v>
      </c>
      <c r="O31" s="11"/>
      <c r="P31" s="763"/>
      <c r="Q31" s="763"/>
    </row>
    <row r="32" spans="1:17" ht="25.8" x14ac:dyDescent="0.3">
      <c r="A32" s="445">
        <v>1</v>
      </c>
      <c r="B32" s="660">
        <v>25</v>
      </c>
      <c r="C32" s="429" t="s">
        <v>513</v>
      </c>
      <c r="D32" s="428" t="s">
        <v>312</v>
      </c>
      <c r="E32" s="428" t="s">
        <v>1006</v>
      </c>
      <c r="F32" s="27"/>
      <c r="G32" s="606"/>
      <c r="H32" s="607" t="s">
        <v>312</v>
      </c>
      <c r="I32" s="607" t="s">
        <v>242</v>
      </c>
      <c r="J32" s="607"/>
      <c r="K32" s="608" t="str">
        <f>VLOOKUP(B32,'radky_V'!A:M,13,0)</f>
        <v>Zůstatková cena prodaného dlouhodobého majetku</v>
      </c>
      <c r="L32" s="621">
        <f>IF($L$4="f",B32,IF($L$4="z",IF(OR(M32&lt;&gt;0,N32&lt;&gt;0),B32,"-"),IF($L$4="m",IF(OR(M32&lt;&gt;0,N32&lt;&gt;0),MAX($L$8:L31)+1,"-"),"-")))</f>
        <v>25</v>
      </c>
      <c r="M32" s="398">
        <f>IF($E32="calc",ROUND($A32*SUMIFS(DATA!$Y:$Y,DATA!$C:$C,INDEX!$D$11,DATA!$N:$N,$C32,DATA!$S:$S,$B32),0)+P32,SUMIFS(M:M,$D:$D,E32))</f>
        <v>0</v>
      </c>
      <c r="N32" s="399">
        <f>IF($E32="calc",ROUND($A32*SUMIFS(DATA!$Y:$Y,DATA!$C:$C,INDEX!$E$11,DATA!$N:$N,$C32,DATA!$S:$S,$B32),0)+Q32,SUMIFS(N:N,$D:$D,E32))</f>
        <v>0</v>
      </c>
      <c r="O32" s="11"/>
      <c r="P32" s="282"/>
      <c r="Q32" s="282"/>
    </row>
    <row r="33" spans="1:17" ht="25.8" x14ac:dyDescent="0.3">
      <c r="A33" s="445">
        <v>1</v>
      </c>
      <c r="B33" s="660">
        <v>26</v>
      </c>
      <c r="C33" s="429" t="s">
        <v>513</v>
      </c>
      <c r="D33" s="428" t="s">
        <v>312</v>
      </c>
      <c r="E33" s="428" t="s">
        <v>1006</v>
      </c>
      <c r="F33" s="27"/>
      <c r="G33" s="606"/>
      <c r="H33" s="607" t="s">
        <v>312</v>
      </c>
      <c r="I33" s="607" t="s">
        <v>243</v>
      </c>
      <c r="J33" s="607"/>
      <c r="K33" s="608" t="str">
        <f>VLOOKUP(B33,'radky_V'!A:M,13,0)</f>
        <v>Prodaný materiál</v>
      </c>
      <c r="L33" s="609">
        <f>IF($L$4="f",B33,IF($L$4="z",IF(OR(M33&lt;&gt;0,N33&lt;&gt;0),B33,"-"),IF($L$4="m",IF(OR(M33&lt;&gt;0,N33&lt;&gt;0),MAX($L$8:L32)+1,"-"),"-")))</f>
        <v>26</v>
      </c>
      <c r="M33" s="398">
        <f>IF($E33="calc",ROUND($A33*SUMIFS(DATA!$Y:$Y,DATA!$C:$C,INDEX!$D$11,DATA!$N:$N,$C33,DATA!$S:$S,$B33),0)+P33,SUMIFS(M:M,$D:$D,E33))</f>
        <v>0</v>
      </c>
      <c r="N33" s="399">
        <f>IF($E33="calc",ROUND($A33*SUMIFS(DATA!$Y:$Y,DATA!$C:$C,INDEX!$E$11,DATA!$N:$N,$C33,DATA!$S:$S,$B33),0)+Q33,SUMIFS(N:N,$D:$D,E33))</f>
        <v>0</v>
      </c>
      <c r="O33" s="770" t="s">
        <v>620</v>
      </c>
      <c r="P33" s="282"/>
      <c r="Q33" s="282"/>
    </row>
    <row r="34" spans="1:17" ht="25.8" x14ac:dyDescent="0.3">
      <c r="A34" s="445">
        <v>1</v>
      </c>
      <c r="B34" s="660">
        <v>27</v>
      </c>
      <c r="C34" s="429" t="s">
        <v>513</v>
      </c>
      <c r="D34" s="428" t="s">
        <v>312</v>
      </c>
      <c r="E34" s="428" t="s">
        <v>1006</v>
      </c>
      <c r="F34" s="27"/>
      <c r="G34" s="606"/>
      <c r="H34" s="607" t="s">
        <v>312</v>
      </c>
      <c r="I34" s="607" t="s">
        <v>244</v>
      </c>
      <c r="J34" s="607"/>
      <c r="K34" s="608" t="str">
        <f>VLOOKUP(B34,'radky_V'!A:M,13,0)</f>
        <v>Daně a poplatky</v>
      </c>
      <c r="L34" s="609">
        <f>IF($L$4="f",B34,IF($L$4="z",IF(OR(M34&lt;&gt;0,N34&lt;&gt;0),B34,"-"),IF($L$4="m",IF(OR(M34&lt;&gt;0,N34&lt;&gt;0),MAX($L$8:L33)+1,"-"),"-")))</f>
        <v>27</v>
      </c>
      <c r="M34" s="398">
        <f>IF($E34="calc",ROUND($A34*SUMIFS(DATA!$Y:$Y,DATA!$C:$C,INDEX!$D$11,DATA!$N:$N,$C34,DATA!$S:$S,$B34),0)+P34,SUMIFS(M:M,$D:$D,E34))</f>
        <v>0</v>
      </c>
      <c r="N34" s="399">
        <f>IF($E34="calc",ROUND($A34*SUMIFS(DATA!$Y:$Y,DATA!$C:$C,INDEX!$E$11,DATA!$N:$N,$C34,DATA!$S:$S,$B34),0)+Q34,SUMIFS(N:N,$D:$D,E34))</f>
        <v>0</v>
      </c>
      <c r="O34" s="770"/>
      <c r="P34" s="282"/>
      <c r="Q34" s="282"/>
    </row>
    <row r="35" spans="1:17" ht="25.8" x14ac:dyDescent="0.3">
      <c r="A35" s="445">
        <v>1</v>
      </c>
      <c r="B35" s="660">
        <v>28</v>
      </c>
      <c r="C35" s="429" t="s">
        <v>513</v>
      </c>
      <c r="D35" s="428" t="s">
        <v>312</v>
      </c>
      <c r="E35" s="428" t="s">
        <v>1006</v>
      </c>
      <c r="F35" s="27"/>
      <c r="G35" s="606"/>
      <c r="H35" s="607" t="s">
        <v>312</v>
      </c>
      <c r="I35" s="607" t="s">
        <v>245</v>
      </c>
      <c r="J35" s="607"/>
      <c r="K35" s="608" t="str">
        <f>VLOOKUP(B35,'radky_V'!A:M,13,0)</f>
        <v>Rezervy v provozní oblasti a komplexní náklady příštích období</v>
      </c>
      <c r="L35" s="609">
        <f>IF($L$4="f",B35,IF($L$4="z",IF(OR(M35&lt;&gt;0,N35&lt;&gt;0),B35,"-"),IF($L$4="m",IF(OR(M35&lt;&gt;0,N35&lt;&gt;0),MAX($L$8:L34)+1,"-"),"-")))</f>
        <v>28</v>
      </c>
      <c r="M35" s="398">
        <f>IF($E35="calc",ROUND($A35*SUMIFS(DATA!$Y:$Y,DATA!$C:$C,INDEX!$D$11,DATA!$N:$N,$C35,DATA!$S:$S,$B35),0)+P35,SUMIFS(M:M,$D:$D,E35))</f>
        <v>0</v>
      </c>
      <c r="N35" s="399">
        <f>IF($E35="calc",ROUND($A35*SUMIFS(DATA!$Y:$Y,DATA!$C:$C,INDEX!$E$11,DATA!$N:$N,$C35,DATA!$S:$S,$B35),0)+Q35,SUMIFS(N:N,$D:$D,E35))</f>
        <v>0</v>
      </c>
      <c r="O35" s="770"/>
      <c r="P35" s="282"/>
      <c r="Q35" s="282"/>
    </row>
    <row r="36" spans="1:17" ht="25.8" x14ac:dyDescent="0.3">
      <c r="A36" s="445">
        <v>1</v>
      </c>
      <c r="B36" s="660">
        <v>29</v>
      </c>
      <c r="C36" s="429" t="s">
        <v>513</v>
      </c>
      <c r="D36" s="428" t="s">
        <v>312</v>
      </c>
      <c r="E36" s="428" t="s">
        <v>1006</v>
      </c>
      <c r="F36" s="27"/>
      <c r="G36" s="606"/>
      <c r="H36" s="607" t="s">
        <v>312</v>
      </c>
      <c r="I36" s="607" t="s">
        <v>246</v>
      </c>
      <c r="J36" s="607"/>
      <c r="K36" s="608" t="str">
        <f>VLOOKUP(B36,'radky_V'!A:M,13,0)</f>
        <v>Jiné provozní náklady</v>
      </c>
      <c r="L36" s="609">
        <f>IF($L$4="f",B36,IF($L$4="z",IF(OR(M36&lt;&gt;0,N36&lt;&gt;0),B36,"-"),IF($L$4="m",IF(OR(M36&lt;&gt;0,N36&lt;&gt;0),MAX($L$8:L35)+1,"-"),"-")))</f>
        <v>29</v>
      </c>
      <c r="M36" s="398">
        <f>IF($E36="calc",ROUND($A36*SUMIFS(DATA!$Y:$Y,DATA!$C:$C,INDEX!$D$11,DATA!$N:$N,$C36,DATA!$S:$S,$B36),0)+P36,SUMIFS(M:M,$D:$D,E36))</f>
        <v>0</v>
      </c>
      <c r="N36" s="399">
        <f>IF($E36="calc",ROUND($A36*SUMIFS(DATA!$Y:$Y,DATA!$C:$C,INDEX!$E$11,DATA!$N:$N,$C36,DATA!$S:$S,$B36),0)+Q36,SUMIFS(N:N,$D:$D,E36))</f>
        <v>0</v>
      </c>
      <c r="O36" s="770"/>
      <c r="P36" s="282"/>
      <c r="Q36" s="282"/>
    </row>
    <row r="37" spans="1:17" ht="26.25" customHeight="1" thickBot="1" x14ac:dyDescent="0.35">
      <c r="B37" s="662">
        <v>30</v>
      </c>
      <c r="C37" s="429" t="s">
        <v>515</v>
      </c>
      <c r="E37" s="428" t="s">
        <v>1065</v>
      </c>
      <c r="F37" s="27"/>
      <c r="G37" s="622" t="s">
        <v>263</v>
      </c>
      <c r="H37" s="623"/>
      <c r="I37" s="623"/>
      <c r="J37" s="624"/>
      <c r="K37" s="625" t="str">
        <f>VLOOKUP(B37,'radky_V'!A:M,13,0)</f>
        <v>Provozní výsledek hospodaření (+/-)</v>
      </c>
      <c r="L37" s="626">
        <f>IF($L$4="f",B37,IF($L$4="z",IF(OR(M37&lt;&gt;0,N37&lt;&gt;0),B37,"-"),IF($L$4="m",IF(OR(M37&lt;&gt;0,N37&lt;&gt;0),MAX($L$8:L36)+1,"-"),"-")))</f>
        <v>30</v>
      </c>
      <c r="M37" s="408">
        <f>SUMIFS(M:M,$D:$D,$E37,$C:$C,"Výnosy")-SUMIFS(M:M,$D:$D,$E37,$C:$C,"Náklady")</f>
        <v>0</v>
      </c>
      <c r="N37" s="409">
        <f>SUMIFS(N:N,$D:$D,$E37,$C:$C,"Výnosy")-SUMIFS(N:N,$D:$D,$E37,$C:$C,"Náklady")</f>
        <v>0</v>
      </c>
      <c r="O37" s="770"/>
      <c r="P37" s="763"/>
      <c r="Q37" s="763"/>
    </row>
    <row r="38" spans="1:17" ht="26.25" customHeight="1" x14ac:dyDescent="0.3">
      <c r="A38" s="445">
        <v>-1</v>
      </c>
      <c r="B38" s="660">
        <v>31</v>
      </c>
      <c r="C38" s="429" t="s">
        <v>515</v>
      </c>
      <c r="D38" s="428" t="s">
        <v>1068</v>
      </c>
      <c r="E38" s="428" t="s">
        <v>273</v>
      </c>
      <c r="F38" s="27"/>
      <c r="G38" s="601" t="s">
        <v>273</v>
      </c>
      <c r="H38" s="602"/>
      <c r="I38" s="602"/>
      <c r="J38" s="603"/>
      <c r="K38" s="604" t="str">
        <f>VLOOKUP(B38,'radky_V'!A:M,13,0)</f>
        <v>Výnosy z dlouhodobého finančního majetku - podíly</v>
      </c>
      <c r="L38" s="605">
        <f>IF($L$4="f",B38,IF($L$4="z",IF(OR(M38&lt;&gt;0,N38&lt;&gt;0),B38,"-"),IF($L$4="m",IF(OR(M38&lt;&gt;0,N38&lt;&gt;0),MAX($L$8:L37)+1,"-"),"-")))</f>
        <v>31</v>
      </c>
      <c r="M38" s="415">
        <f>IF($E38="calc",ROUND($A38*SUMIFS(DATA!$Y:$Y,DATA!$C:$C,INDEX!$D$11,DATA!$N:$N,$C38,DATA!$S:$S,$B38),0)+P38,SUMIFS(M:M,$D:$D,E38))</f>
        <v>0</v>
      </c>
      <c r="N38" s="416">
        <f>IF($E38="calc",ROUND($A38*SUMIFS(DATA!$Y:$Y,DATA!$C:$C,INDEX!$E$11,DATA!$N:$N,$C38,DATA!$S:$S,$B38),0)+Q38,SUMIFS(N:N,$D:$D,E38))</f>
        <v>0</v>
      </c>
      <c r="O38" s="11"/>
      <c r="P38" s="763"/>
      <c r="Q38" s="763"/>
    </row>
    <row r="39" spans="1:17" ht="25.8" x14ac:dyDescent="0.3">
      <c r="A39" s="445">
        <v>-1</v>
      </c>
      <c r="B39" s="660">
        <v>32</v>
      </c>
      <c r="C39" s="429" t="s">
        <v>515</v>
      </c>
      <c r="D39" s="428" t="s">
        <v>273</v>
      </c>
      <c r="E39" s="428" t="s">
        <v>1006</v>
      </c>
      <c r="F39" s="27"/>
      <c r="G39" s="606"/>
      <c r="H39" s="607" t="s">
        <v>273</v>
      </c>
      <c r="I39" s="607" t="s">
        <v>242</v>
      </c>
      <c r="J39" s="607"/>
      <c r="K39" s="608" t="str">
        <f>VLOOKUP(B39,'radky_V'!A:M,13,0)</f>
        <v>Výnosy z podílů - ovládaná nebo ovládající osoba</v>
      </c>
      <c r="L39" s="621">
        <f>IF($L$4="f",B39,IF($L$4="z",IF(OR(M39&lt;&gt;0,N39&lt;&gt;0),B39,"-"),IF($L$4="m",IF(OR(M39&lt;&gt;0,N39&lt;&gt;0),MAX($L$8:L38)+1,"-"),"-")))</f>
        <v>32</v>
      </c>
      <c r="M39" s="398">
        <f>IF($E39="calc",ROUND($A39*SUMIFS(DATA!$Y:$Y,DATA!$C:$C,INDEX!$D$11,DATA!$N:$N,$C39,DATA!$S:$S,$B39),0)+P39,SUMIFS(M:M,$D:$D,E39))</f>
        <v>0</v>
      </c>
      <c r="N39" s="399">
        <f>IF($E39="calc",ROUND($A39*SUMIFS(DATA!$Y:$Y,DATA!$C:$C,INDEX!$E$11,DATA!$N:$N,$C39,DATA!$S:$S,$B39),0)+Q39,SUMIFS(N:N,$D:$D,E39))</f>
        <v>0</v>
      </c>
      <c r="O39" s="11"/>
      <c r="P39" s="282"/>
      <c r="Q39" s="282"/>
    </row>
    <row r="40" spans="1:17" ht="25.8" x14ac:dyDescent="0.3">
      <c r="A40" s="445">
        <v>-1</v>
      </c>
      <c r="B40" s="660">
        <v>33</v>
      </c>
      <c r="C40" s="429" t="s">
        <v>515</v>
      </c>
      <c r="D40" s="428" t="s">
        <v>273</v>
      </c>
      <c r="E40" s="428" t="s">
        <v>1006</v>
      </c>
      <c r="F40" s="27"/>
      <c r="G40" s="606"/>
      <c r="H40" s="607" t="s">
        <v>1003</v>
      </c>
      <c r="I40" s="607" t="s">
        <v>243</v>
      </c>
      <c r="J40" s="607"/>
      <c r="K40" s="608" t="str">
        <f>VLOOKUP(B40,'radky_V'!A:M,13,0)</f>
        <v>Ostatní výnosy z podílů</v>
      </c>
      <c r="L40" s="621">
        <f>IF($L$4="f",B40,IF($L$4="z",IF(OR(M40&lt;&gt;0,N40&lt;&gt;0),B40,"-"),IF($L$4="m",IF(OR(M40&lt;&gt;0,N40&lt;&gt;0),MAX($L$8:L39)+1,"-"),"-")))</f>
        <v>33</v>
      </c>
      <c r="M40" s="398">
        <f>IF($E40="calc",ROUND($A40*SUMIFS(DATA!$Y:$Y,DATA!$C:$C,INDEX!$D$11,DATA!$N:$N,$C40,DATA!$S:$S,$B40),0)+P40,SUMIFS(M:M,$D:$D,E40))</f>
        <v>0</v>
      </c>
      <c r="N40" s="399">
        <f>IF($E40="calc",ROUND($A40*SUMIFS(DATA!$Y:$Y,DATA!$C:$C,INDEX!$E$11,DATA!$N:$N,$C40,DATA!$S:$S,$B40),0)+Q40,SUMIFS(N:N,$D:$D,E40))</f>
        <v>0</v>
      </c>
      <c r="O40" s="11"/>
      <c r="P40" s="282"/>
      <c r="Q40" s="282"/>
    </row>
    <row r="41" spans="1:17" ht="25.8" x14ac:dyDescent="0.3">
      <c r="A41" s="445">
        <v>1</v>
      </c>
      <c r="B41" s="660">
        <v>34</v>
      </c>
      <c r="C41" s="429" t="s">
        <v>513</v>
      </c>
      <c r="D41" s="428" t="s">
        <v>1068</v>
      </c>
      <c r="E41" s="428" t="s">
        <v>1006</v>
      </c>
      <c r="F41" s="27"/>
      <c r="G41" s="596" t="s">
        <v>313</v>
      </c>
      <c r="H41" s="597"/>
      <c r="I41" s="597"/>
      <c r="J41" s="598"/>
      <c r="K41" s="599" t="str">
        <f>VLOOKUP(B41,'radky_V'!A:M,13,0)</f>
        <v>Náklady vynaložené na prodané podíly</v>
      </c>
      <c r="L41" s="600">
        <f>IF($L$4="f",B41,IF($L$4="z",IF(OR(M41&lt;&gt;0,N41&lt;&gt;0),B41,"-"),IF($L$4="m",IF(OR(M41&lt;&gt;0,N41&lt;&gt;0),MAX($L$8:L40)+1,"-"),"-")))</f>
        <v>34</v>
      </c>
      <c r="M41" s="413">
        <f>IF($E41="calc",ROUND($A41*SUMIFS(DATA!$Y:$Y,DATA!$C:$C,INDEX!$D$11,DATA!$N:$N,$C41,DATA!$S:$S,$B41),0)+P41,SUMIFS(M:M,$D:$D,E41))</f>
        <v>0</v>
      </c>
      <c r="N41" s="414">
        <f>IF($E41="calc",ROUND($A41*SUMIFS(DATA!$Y:$Y,DATA!$C:$C,INDEX!$E$11,DATA!$N:$N,$C41,DATA!$S:$S,$B41),0)+Q41,SUMIFS(N:N,$D:$D,E41))</f>
        <v>0</v>
      </c>
      <c r="O41" s="11"/>
      <c r="P41" s="282"/>
      <c r="Q41" s="282"/>
    </row>
    <row r="42" spans="1:17" ht="26.25" customHeight="1" x14ac:dyDescent="0.3">
      <c r="A42" s="445">
        <v>-1</v>
      </c>
      <c r="B42" s="660">
        <v>35</v>
      </c>
      <c r="C42" s="429" t="s">
        <v>515</v>
      </c>
      <c r="D42" s="428" t="s">
        <v>1068</v>
      </c>
      <c r="E42" s="428" t="s">
        <v>281</v>
      </c>
      <c r="F42" s="27"/>
      <c r="G42" s="601" t="s">
        <v>281</v>
      </c>
      <c r="H42" s="602"/>
      <c r="I42" s="602"/>
      <c r="J42" s="603"/>
      <c r="K42" s="604" t="str">
        <f>VLOOKUP(B42,'radky_V'!A:M,13,0)</f>
        <v>Výnosy z ostatního dlouhodobého finančního majetku</v>
      </c>
      <c r="L42" s="605">
        <f>IF($L$4="f",B42,IF($L$4="z",IF(OR(M42&lt;&gt;0,N42&lt;&gt;0),B42,"-"),IF($L$4="m",IF(OR(M42&lt;&gt;0,N42&lt;&gt;0),MAX($L$8:L41)+1,"-"),"-")))</f>
        <v>35</v>
      </c>
      <c r="M42" s="415">
        <f>IF($E42="calc",ROUND($A42*SUMIFS(DATA!$Y:$Y,DATA!$C:$C,INDEX!$D$11,DATA!$N:$N,$C42,DATA!$S:$S,$B42),0)+P42,SUMIFS(M:M,$D:$D,E42))</f>
        <v>0</v>
      </c>
      <c r="N42" s="416">
        <f>IF($E42="calc",ROUND($A42*SUMIFS(DATA!$Y:$Y,DATA!$C:$C,INDEX!$E$11,DATA!$N:$N,$C42,DATA!$S:$S,$B42),0)+Q42,SUMIFS(N:N,$D:$D,E42))</f>
        <v>0</v>
      </c>
      <c r="O42" s="11"/>
      <c r="P42" s="763"/>
      <c r="Q42" s="763"/>
    </row>
    <row r="43" spans="1:17" ht="25.8" x14ac:dyDescent="0.3">
      <c r="A43" s="445">
        <v>-1</v>
      </c>
      <c r="B43" s="660">
        <v>36</v>
      </c>
      <c r="C43" s="429" t="s">
        <v>515</v>
      </c>
      <c r="D43" s="428" t="s">
        <v>281</v>
      </c>
      <c r="E43" s="428" t="s">
        <v>1006</v>
      </c>
      <c r="F43" s="27"/>
      <c r="G43" s="606"/>
      <c r="H43" s="607" t="s">
        <v>281</v>
      </c>
      <c r="I43" s="607" t="s">
        <v>242</v>
      </c>
      <c r="J43" s="607"/>
      <c r="K43" s="608" t="str">
        <f>VLOOKUP(B43,'radky_V'!A:M,13,0)</f>
        <v>Výnosy z ostatního dlouh. fin. majetku - ovládaná nebo ovládající osoba</v>
      </c>
      <c r="L43" s="621">
        <f>IF($L$4="f",B43,IF($L$4="z",IF(OR(M43&lt;&gt;0,N43&lt;&gt;0),B43,"-"),IF($L$4="m",IF(OR(M43&lt;&gt;0,N43&lt;&gt;0),MAX($L$8:L42)+1,"-"),"-")))</f>
        <v>36</v>
      </c>
      <c r="M43" s="398">
        <f>IF($E43="calc",ROUND($A43*SUMIFS(DATA!$Y:$Y,DATA!$C:$C,INDEX!$D$11,DATA!$N:$N,$C43,DATA!$S:$S,$B43),0)+P43,SUMIFS(M:M,$D:$D,E43))</f>
        <v>0</v>
      </c>
      <c r="N43" s="399">
        <f>IF($E43="calc",ROUND($A43*SUMIFS(DATA!$Y:$Y,DATA!$C:$C,INDEX!$E$11,DATA!$N:$N,$C43,DATA!$S:$S,$B43),0)+Q43,SUMIFS(N:N,$D:$D,E43))</f>
        <v>0</v>
      </c>
      <c r="O43" s="11"/>
      <c r="P43" s="282"/>
      <c r="Q43" s="282"/>
    </row>
    <row r="44" spans="1:17" ht="25.8" x14ac:dyDescent="0.3">
      <c r="A44" s="445">
        <v>-1</v>
      </c>
      <c r="B44" s="660">
        <v>37</v>
      </c>
      <c r="C44" s="429" t="s">
        <v>515</v>
      </c>
      <c r="D44" s="428" t="s">
        <v>281</v>
      </c>
      <c r="E44" s="428" t="s">
        <v>1006</v>
      </c>
      <c r="F44" s="27"/>
      <c r="G44" s="606"/>
      <c r="H44" s="607" t="s">
        <v>281</v>
      </c>
      <c r="I44" s="607" t="s">
        <v>243</v>
      </c>
      <c r="J44" s="607"/>
      <c r="K44" s="608" t="str">
        <f>VLOOKUP(B44,'radky_V'!A:M,13,0)</f>
        <v>Ostatní výnosy z ostatního dlouhodobého finančního majetku</v>
      </c>
      <c r="L44" s="621">
        <f>IF($L$4="f",B44,IF($L$4="z",IF(OR(M44&lt;&gt;0,N44&lt;&gt;0),B44,"-"),IF($L$4="m",IF(OR(M44&lt;&gt;0,N44&lt;&gt;0),MAX($L$8:L43)+1,"-"),"-")))</f>
        <v>37</v>
      </c>
      <c r="M44" s="398">
        <f>IF($E44="calc",ROUND($A44*SUMIFS(DATA!$Y:$Y,DATA!$C:$C,INDEX!$D$11,DATA!$N:$N,$C44,DATA!$S:$S,$B44),0)+P44,SUMIFS(M:M,$D:$D,E44))</f>
        <v>0</v>
      </c>
      <c r="N44" s="399">
        <f>IF($E44="calc",ROUND($A44*SUMIFS(DATA!$Y:$Y,DATA!$C:$C,INDEX!$E$11,DATA!$N:$N,$C44,DATA!$S:$S,$B44),0)+Q44,SUMIFS(N:N,$D:$D,E44))</f>
        <v>0</v>
      </c>
      <c r="O44" s="11"/>
      <c r="P44" s="282"/>
      <c r="Q44" s="282"/>
    </row>
    <row r="45" spans="1:17" ht="25.8" x14ac:dyDescent="0.3">
      <c r="A45" s="445">
        <v>1</v>
      </c>
      <c r="B45" s="660">
        <v>38</v>
      </c>
      <c r="C45" s="429" t="s">
        <v>513</v>
      </c>
      <c r="D45" s="428" t="s">
        <v>1068</v>
      </c>
      <c r="E45" s="428" t="s">
        <v>1006</v>
      </c>
      <c r="F45" s="27"/>
      <c r="G45" s="596" t="s">
        <v>314</v>
      </c>
      <c r="H45" s="597"/>
      <c r="I45" s="597"/>
      <c r="J45" s="598"/>
      <c r="K45" s="599" t="str">
        <f>VLOOKUP(B45,'radky_V'!A:M,13,0)</f>
        <v>Náklady související s ostatním dlouhodobým finančním majetkem</v>
      </c>
      <c r="L45" s="600">
        <f>IF($L$4="f",B45,IF($L$4="z",IF(OR(M45&lt;&gt;0,N45&lt;&gt;0),B45,"-"),IF($L$4="m",IF(OR(M45&lt;&gt;0,N45&lt;&gt;0),MAX($L$8:L44)+1,"-"),"-")))</f>
        <v>38</v>
      </c>
      <c r="M45" s="413">
        <f>IF($E45="calc",ROUND($A45*SUMIFS(DATA!$Y:$Y,DATA!$C:$C,INDEX!$D$11,DATA!$N:$N,$C45,DATA!$S:$S,$B45),0)+P45,SUMIFS(M:M,$D:$D,E45))</f>
        <v>0</v>
      </c>
      <c r="N45" s="414">
        <f>IF($E45="calc",ROUND($A45*SUMIFS(DATA!$Y:$Y,DATA!$C:$C,INDEX!$E$11,DATA!$N:$N,$C45,DATA!$S:$S,$B45),0)+Q45,SUMIFS(N:N,$D:$D,E45))</f>
        <v>0</v>
      </c>
      <c r="O45" s="11"/>
      <c r="P45" s="282"/>
      <c r="Q45" s="282"/>
    </row>
    <row r="46" spans="1:17" ht="26.25" customHeight="1" x14ac:dyDescent="0.3">
      <c r="A46" s="445">
        <v>-1</v>
      </c>
      <c r="B46" s="660">
        <v>39</v>
      </c>
      <c r="C46" s="429" t="s">
        <v>515</v>
      </c>
      <c r="D46" s="428" t="s">
        <v>1068</v>
      </c>
      <c r="E46" s="428" t="s">
        <v>327</v>
      </c>
      <c r="F46" s="27"/>
      <c r="G46" s="601" t="s">
        <v>327</v>
      </c>
      <c r="H46" s="602"/>
      <c r="I46" s="602"/>
      <c r="J46" s="603"/>
      <c r="K46" s="604" t="str">
        <f>VLOOKUP(B46,'radky_V'!A:M,13,0)</f>
        <v>Výnosové úroky a podobné výnosy</v>
      </c>
      <c r="L46" s="605">
        <f>IF($L$4="f",B46,IF($L$4="z",IF(OR(M46&lt;&gt;0,N46&lt;&gt;0),B46,"-"),IF($L$4="m",IF(OR(M46&lt;&gt;0,N46&lt;&gt;0),MAX($L$8:L45)+1,"-"),"-")))</f>
        <v>39</v>
      </c>
      <c r="M46" s="415">
        <f>IF($E46="calc",ROUND($A46*SUMIFS(DATA!$Y:$Y,DATA!$C:$C,INDEX!$D$11,DATA!$N:$N,$C46,DATA!$S:$S,$B46),0)+P46,SUMIFS(M:M,$D:$D,E46))</f>
        <v>0</v>
      </c>
      <c r="N46" s="416">
        <f>IF($E46="calc",ROUND($A46*SUMIFS(DATA!$Y:$Y,DATA!$C:$C,INDEX!$E$11,DATA!$N:$N,$C46,DATA!$S:$S,$B46),0)+Q46,SUMIFS(N:N,$D:$D,E46))</f>
        <v>0</v>
      </c>
      <c r="O46" s="11"/>
      <c r="P46" s="763"/>
      <c r="Q46" s="763"/>
    </row>
    <row r="47" spans="1:17" ht="25.8" x14ac:dyDescent="0.3">
      <c r="A47" s="445">
        <v>-1</v>
      </c>
      <c r="B47" s="660">
        <v>40</v>
      </c>
      <c r="C47" s="429" t="s">
        <v>515</v>
      </c>
      <c r="D47" s="428" t="s">
        <v>327</v>
      </c>
      <c r="E47" s="428" t="s">
        <v>1006</v>
      </c>
      <c r="F47" s="27"/>
      <c r="G47" s="606"/>
      <c r="H47" s="607" t="s">
        <v>327</v>
      </c>
      <c r="I47" s="607">
        <v>1</v>
      </c>
      <c r="J47" s="607"/>
      <c r="K47" s="608" t="str">
        <f>VLOOKUP(B47,'radky_V'!A:M,13,0)</f>
        <v>Výnos. úroky a podobné výnosy - ovládaná nebo ovládající osoba</v>
      </c>
      <c r="L47" s="621">
        <f>IF($L$4="f",B47,IF($L$4="z",IF(OR(M47&lt;&gt;0,N47&lt;&gt;0),B47,"-"),IF($L$4="m",IF(OR(M47&lt;&gt;0,N47&lt;&gt;0),MAX($L$8:L46)+1,"-"),"-")))</f>
        <v>40</v>
      </c>
      <c r="M47" s="398">
        <f>IF($E47="calc",ROUND($A47*SUMIFS(DATA!$Y:$Y,DATA!$C:$C,INDEX!$D$11,DATA!$N:$N,$C47,DATA!$S:$S,$B47),0)+P47,SUMIFS(M:M,$D:$D,E47))</f>
        <v>0</v>
      </c>
      <c r="N47" s="399">
        <f>IF($E47="calc",ROUND($A47*SUMIFS(DATA!$Y:$Y,DATA!$C:$C,INDEX!$E$11,DATA!$N:$N,$C47,DATA!$S:$S,$B47),0)+Q47,SUMIFS(N:N,$D:$D,E47))</f>
        <v>0</v>
      </c>
      <c r="O47" s="11"/>
      <c r="P47" s="282"/>
      <c r="Q47" s="282"/>
    </row>
    <row r="48" spans="1:17" ht="25.8" x14ac:dyDescent="0.3">
      <c r="A48" s="445">
        <v>-1</v>
      </c>
      <c r="B48" s="660">
        <v>41</v>
      </c>
      <c r="C48" s="429" t="s">
        <v>515</v>
      </c>
      <c r="D48" s="428" t="s">
        <v>327</v>
      </c>
      <c r="E48" s="428" t="s">
        <v>1006</v>
      </c>
      <c r="F48" s="27"/>
      <c r="G48" s="606"/>
      <c r="H48" s="607" t="s">
        <v>327</v>
      </c>
      <c r="I48" s="607" t="s">
        <v>243</v>
      </c>
      <c r="J48" s="607"/>
      <c r="K48" s="608" t="str">
        <f>VLOOKUP(B48,'radky_V'!A:M,13,0)</f>
        <v>Ostatní výnosové úroky a podobné výnosy</v>
      </c>
      <c r="L48" s="621">
        <f>IF($L$4="f",B48,IF($L$4="z",IF(OR(M48&lt;&gt;0,N48&lt;&gt;0),B48,"-"),IF($L$4="m",IF(OR(M48&lt;&gt;0,N48&lt;&gt;0),MAX($L$8:L47)+1,"-"),"-")))</f>
        <v>41</v>
      </c>
      <c r="M48" s="398">
        <f>IF($E48="calc",ROUND($A48*SUMIFS(DATA!$Y:$Y,DATA!$C:$C,INDEX!$D$11,DATA!$N:$N,$C48,DATA!$S:$S,$B48),0)+P48,SUMIFS(M:M,$D:$D,E48))</f>
        <v>0</v>
      </c>
      <c r="N48" s="399">
        <f>IF($E48="calc",ROUND($A48*SUMIFS(DATA!$Y:$Y,DATA!$C:$C,INDEX!$E$11,DATA!$N:$N,$C48,DATA!$S:$S,$B48),0)+Q48,SUMIFS(N:N,$D:$D,E48))</f>
        <v>0</v>
      </c>
      <c r="O48" s="11"/>
      <c r="P48" s="282"/>
      <c r="Q48" s="282"/>
    </row>
    <row r="49" spans="1:17" ht="25.8" x14ac:dyDescent="0.3">
      <c r="A49" s="445">
        <v>1</v>
      </c>
      <c r="B49" s="660">
        <v>42</v>
      </c>
      <c r="C49" s="429" t="s">
        <v>513</v>
      </c>
      <c r="D49" s="428" t="s">
        <v>1068</v>
      </c>
      <c r="E49" s="428" t="s">
        <v>1006</v>
      </c>
      <c r="F49" s="27"/>
      <c r="G49" s="596" t="s">
        <v>241</v>
      </c>
      <c r="H49" s="597"/>
      <c r="I49" s="597"/>
      <c r="J49" s="598"/>
      <c r="K49" s="599" t="str">
        <f>VLOOKUP(B49,'radky_V'!A:M,13,0)</f>
        <v>Úpravy hodnot a rezervy ve finanční oblasti</v>
      </c>
      <c r="L49" s="600">
        <f>IF($L$4="f",B49,IF($L$4="z",IF(OR(M49&lt;&gt;0,N49&lt;&gt;0),B49,"-"),IF($L$4="m",IF(OR(M49&lt;&gt;0,N49&lt;&gt;0),MAX($L$8:L48)+1,"-"),"-")))</f>
        <v>42</v>
      </c>
      <c r="M49" s="413">
        <f>IF($E49="calc",ROUND($A49*SUMIFS(DATA!$Y:$Y,DATA!$C:$C,INDEX!$D$11,DATA!$N:$N,$C49,DATA!$S:$S,$B49),0)+P49,SUMIFS(M:M,$D:$D,E49))</f>
        <v>0</v>
      </c>
      <c r="N49" s="414">
        <f>IF($E49="calc",ROUND($A49*SUMIFS(DATA!$Y:$Y,DATA!$C:$C,INDEX!$E$11,DATA!$N:$N,$C49,DATA!$S:$S,$B49),0)+Q49,SUMIFS(N:N,$D:$D,E49))</f>
        <v>0</v>
      </c>
      <c r="O49" s="11"/>
      <c r="P49" s="282"/>
      <c r="Q49" s="282"/>
    </row>
    <row r="50" spans="1:17" ht="26.25" customHeight="1" x14ac:dyDescent="0.3">
      <c r="A50" s="445">
        <v>1</v>
      </c>
      <c r="B50" s="660">
        <v>43</v>
      </c>
      <c r="C50" s="429" t="s">
        <v>513</v>
      </c>
      <c r="D50" s="428" t="s">
        <v>1068</v>
      </c>
      <c r="E50" s="428" t="s">
        <v>328</v>
      </c>
      <c r="F50" s="27"/>
      <c r="G50" s="601" t="s">
        <v>328</v>
      </c>
      <c r="H50" s="602"/>
      <c r="I50" s="602"/>
      <c r="J50" s="603"/>
      <c r="K50" s="604" t="str">
        <f>VLOOKUP(B50,'radky_V'!A:M,13,0)</f>
        <v>Nákladové úroky a podobné náklady</v>
      </c>
      <c r="L50" s="605">
        <f>IF($L$4="f",B50,IF($L$4="z",IF(OR(M50&lt;&gt;0,N50&lt;&gt;0),B50,"-"),IF($L$4="m",IF(OR(M50&lt;&gt;0,N50&lt;&gt;0),MAX($L$8:L49)+1,"-"),"-")))</f>
        <v>43</v>
      </c>
      <c r="M50" s="415">
        <f>IF($E50="calc",ROUND($A50*SUMIFS(DATA!$Y:$Y,DATA!$C:$C,INDEX!$D$11,DATA!$N:$N,$C50,DATA!$S:$S,$B50),0)+P50,SUMIFS(M:M,$D:$D,E50))</f>
        <v>0</v>
      </c>
      <c r="N50" s="416">
        <f>IF($E50="calc",ROUND($A50*SUMIFS(DATA!$Y:$Y,DATA!$C:$C,INDEX!$E$11,DATA!$N:$N,$C50,DATA!$S:$S,$B50),0)+Q50,SUMIFS(N:N,$D:$D,E50))</f>
        <v>0</v>
      </c>
      <c r="O50" s="11"/>
      <c r="P50" s="763"/>
      <c r="Q50" s="763"/>
    </row>
    <row r="51" spans="1:17" ht="25.8" x14ac:dyDescent="0.3">
      <c r="A51" s="445">
        <v>1</v>
      </c>
      <c r="B51" s="660">
        <v>44</v>
      </c>
      <c r="C51" s="429" t="s">
        <v>513</v>
      </c>
      <c r="D51" s="428" t="s">
        <v>328</v>
      </c>
      <c r="E51" s="428" t="s">
        <v>1006</v>
      </c>
      <c r="F51" s="27"/>
      <c r="G51" s="606"/>
      <c r="H51" s="607" t="s">
        <v>328</v>
      </c>
      <c r="I51" s="607" t="s">
        <v>242</v>
      </c>
      <c r="J51" s="607"/>
      <c r="K51" s="608" t="str">
        <f>VLOOKUP(B51,'radky_V'!A:M,13,0)</f>
        <v>Nákl. úroky a podobné náklady - ovládaná nebo ovládající osoba</v>
      </c>
      <c r="L51" s="621">
        <f>IF($L$4="f",B51,IF($L$4="z",IF(OR(M51&lt;&gt;0,N51&lt;&gt;0),B51,"-"),IF($L$4="m",IF(OR(M51&lt;&gt;0,N51&lt;&gt;0),MAX($L$8:L50)+1,"-"),"-")))</f>
        <v>44</v>
      </c>
      <c r="M51" s="398">
        <f>IF($E51="calc",ROUND($A51*SUMIFS(DATA!$Y:$Y,DATA!$C:$C,INDEX!$D$11,DATA!$N:$N,$C51,DATA!$S:$S,$B51),0)+P51,SUMIFS(M:M,$D:$D,E51))</f>
        <v>0</v>
      </c>
      <c r="N51" s="399">
        <f>IF($E51="calc",ROUND($A51*SUMIFS(DATA!$Y:$Y,DATA!$C:$C,INDEX!$E$11,DATA!$N:$N,$C51,DATA!$S:$S,$B51),0)+Q51,SUMIFS(N:N,$D:$D,E51))</f>
        <v>0</v>
      </c>
      <c r="O51" s="11"/>
      <c r="P51" s="282"/>
      <c r="Q51" s="282"/>
    </row>
    <row r="52" spans="1:17" ht="25.8" x14ac:dyDescent="0.3">
      <c r="A52" s="445">
        <v>1</v>
      </c>
      <c r="B52" s="660">
        <v>45</v>
      </c>
      <c r="C52" s="429" t="s">
        <v>513</v>
      </c>
      <c r="D52" s="428" t="s">
        <v>328</v>
      </c>
      <c r="E52" s="428" t="s">
        <v>1006</v>
      </c>
      <c r="F52" s="27"/>
      <c r="G52" s="606"/>
      <c r="H52" s="607" t="s">
        <v>328</v>
      </c>
      <c r="I52" s="607" t="s">
        <v>243</v>
      </c>
      <c r="J52" s="607"/>
      <c r="K52" s="608" t="str">
        <f>VLOOKUP(B52,'radky_V'!A:M,13,0)</f>
        <v>Ostatní nákladové úroky a podobné náklady</v>
      </c>
      <c r="L52" s="621">
        <f>IF($L$4="f",B52,IF($L$4="z",IF(OR(M52&lt;&gt;0,N52&lt;&gt;0),B52,"-"),IF($L$4="m",IF(OR(M52&lt;&gt;0,N52&lt;&gt;0),MAX($L$8:L51)+1,"-"),"-")))</f>
        <v>45</v>
      </c>
      <c r="M52" s="398">
        <f>IF($E52="calc",ROUND($A52*SUMIFS(DATA!$Y:$Y,DATA!$C:$C,INDEX!$D$11,DATA!$N:$N,$C52,DATA!$S:$S,$B52),0)+P52,SUMIFS(M:M,$D:$D,E52))</f>
        <v>0</v>
      </c>
      <c r="N52" s="399">
        <f>IF($E52="calc",ROUND($A52*SUMIFS(DATA!$Y:$Y,DATA!$C:$C,INDEX!$E$11,DATA!$N:$N,$C52,DATA!$S:$S,$B52),0)+Q52,SUMIFS(N:N,$D:$D,E52))</f>
        <v>0</v>
      </c>
      <c r="O52" s="11"/>
      <c r="P52" s="282"/>
      <c r="Q52" s="282"/>
    </row>
    <row r="53" spans="1:17" ht="25.8" x14ac:dyDescent="0.3">
      <c r="A53" s="445">
        <v>-1</v>
      </c>
      <c r="B53" s="660">
        <v>46</v>
      </c>
      <c r="C53" s="429" t="s">
        <v>515</v>
      </c>
      <c r="D53" s="428" t="s">
        <v>1068</v>
      </c>
      <c r="E53" s="428" t="s">
        <v>1006</v>
      </c>
      <c r="F53" s="27"/>
      <c r="G53" s="596" t="s">
        <v>329</v>
      </c>
      <c r="H53" s="597"/>
      <c r="I53" s="597"/>
      <c r="J53" s="598"/>
      <c r="K53" s="599" t="str">
        <f>VLOOKUP(B53,'radky_V'!A:M,13,0)</f>
        <v>Ostatní finanční výnosy</v>
      </c>
      <c r="L53" s="600">
        <f>IF($L$4="f",B53,IF($L$4="z",IF(OR(M53&lt;&gt;0,N53&lt;&gt;0),B53,"-"),IF($L$4="m",IF(OR(M53&lt;&gt;0,N53&lt;&gt;0),MAX($L$8:L52)+1,"-"),"-")))</f>
        <v>46</v>
      </c>
      <c r="M53" s="413">
        <f>IF($E53="calc",ROUND($A53*SUMIFS(DATA!$Y:$Y,DATA!$C:$C,INDEX!$D$11,DATA!$N:$N,$C53,DATA!$S:$S,$B53),0)+P53,SUMIFS(M:M,$D:$D,E53))</f>
        <v>0</v>
      </c>
      <c r="N53" s="414">
        <f>IF($E53="calc",ROUND($A53*SUMIFS(DATA!$Y:$Y,DATA!$C:$C,INDEX!$E$11,DATA!$N:$N,$C53,DATA!$S:$S,$B53),0)+Q53,SUMIFS(N:N,$D:$D,E53))</f>
        <v>0</v>
      </c>
      <c r="O53" s="11"/>
      <c r="P53" s="282"/>
      <c r="Q53" s="282"/>
    </row>
    <row r="54" spans="1:17" ht="25.8" x14ac:dyDescent="0.3">
      <c r="A54" s="445">
        <v>1</v>
      </c>
      <c r="B54" s="660">
        <v>47</v>
      </c>
      <c r="C54" s="429" t="s">
        <v>513</v>
      </c>
      <c r="D54" s="428" t="s">
        <v>1068</v>
      </c>
      <c r="E54" s="428" t="s">
        <v>1006</v>
      </c>
      <c r="F54" s="27"/>
      <c r="G54" s="596" t="s">
        <v>330</v>
      </c>
      <c r="H54" s="597"/>
      <c r="I54" s="597"/>
      <c r="J54" s="598"/>
      <c r="K54" s="599" t="str">
        <f>VLOOKUP(B54,'radky_V'!A:M,13,0)</f>
        <v>Ostatní finanční náklady</v>
      </c>
      <c r="L54" s="600">
        <f>IF($L$4="f",B54,IF($L$4="z",IF(OR(M54&lt;&gt;0,N54&lt;&gt;0),B54,"-"),IF($L$4="m",IF(OR(M54&lt;&gt;0,N54&lt;&gt;0),MAX($L$8:L53)+1,"-"),"-")))</f>
        <v>47</v>
      </c>
      <c r="M54" s="413">
        <f>IF($E54="calc",ROUND($A54*SUMIFS(DATA!$Y:$Y,DATA!$C:$C,INDEX!$D$11,DATA!$N:$N,$C54,DATA!$S:$S,$B54),0)+P54,SUMIFS(M:M,$D:$D,E54))</f>
        <v>0</v>
      </c>
      <c r="N54" s="414">
        <f>IF($E54="calc",ROUND($A54*SUMIFS(DATA!$Y:$Y,DATA!$C:$C,INDEX!$E$11,DATA!$N:$N,$C54,DATA!$S:$S,$B54),0)+Q54,SUMIFS(N:N,$D:$D,E54))</f>
        <v>0</v>
      </c>
      <c r="O54" s="11"/>
      <c r="P54" s="282"/>
      <c r="Q54" s="282"/>
    </row>
    <row r="55" spans="1:17" ht="26.4" thickBot="1" x14ac:dyDescent="0.35">
      <c r="B55" s="662">
        <v>48</v>
      </c>
      <c r="C55" s="429" t="s">
        <v>263</v>
      </c>
      <c r="E55" s="428" t="s">
        <v>1068</v>
      </c>
      <c r="F55" s="26"/>
      <c r="G55" s="622" t="s">
        <v>263</v>
      </c>
      <c r="H55" s="623"/>
      <c r="I55" s="623"/>
      <c r="J55" s="624"/>
      <c r="K55" s="625" t="str">
        <f>VLOOKUP(B55,'radky_V'!A:M,13,0)</f>
        <v>Finanční výsledek hospodaření (+/-)</v>
      </c>
      <c r="L55" s="626">
        <f>IF($L$4="f",B55,IF($L$4="z",IF(OR(M55&lt;&gt;0,N55&lt;&gt;0),B55,"-"),IF($L$4="m",IF(OR(M55&lt;&gt;0,N55&lt;&gt;0),MAX($L$8:L54)+1,"-"),"-")))</f>
        <v>48</v>
      </c>
      <c r="M55" s="408">
        <f>SUMIFS(M:M,$D:$D,$E55,$C:$C,"Výnosy")-SUMIFS(M:M,$D:$D,$E55,$C:$C,"Náklady")</f>
        <v>0</v>
      </c>
      <c r="N55" s="409">
        <f>SUMIFS(N:N,$D:$D,$E55,$C:$C,"Výnosy")-SUMIFS(N:N,$D:$D,$E55,$C:$C,"Náklady")</f>
        <v>0</v>
      </c>
      <c r="P55" s="763"/>
      <c r="Q55" s="763"/>
    </row>
    <row r="56" spans="1:17" ht="26.4" thickBot="1" x14ac:dyDescent="0.35">
      <c r="B56" s="662">
        <v>49</v>
      </c>
      <c r="C56" s="429" t="s">
        <v>515</v>
      </c>
      <c r="D56" s="428" t="s">
        <v>1069</v>
      </c>
      <c r="F56" s="26"/>
      <c r="G56" s="627" t="s">
        <v>263</v>
      </c>
      <c r="H56" s="628" t="s">
        <v>263</v>
      </c>
      <c r="I56" s="628"/>
      <c r="J56" s="629"/>
      <c r="K56" s="630" t="str">
        <f>VLOOKUP(B56,'radky_V'!A:M,13,0)</f>
        <v>Výsledek hospodaření před zdaněním (+/-)</v>
      </c>
      <c r="L56" s="631">
        <f>IF($L$4="f",B56,IF($L$4="z",IF(OR(M56&lt;&gt;0,N56&lt;&gt;0),B56,"-"),IF($L$4="m",IF(OR(M56&lt;&gt;0,N56&lt;&gt;0),MAX($L$8:L55)+1,"-"),"-")))</f>
        <v>49</v>
      </c>
      <c r="M56" s="75">
        <f>M37+M55</f>
        <v>0</v>
      </c>
      <c r="N56" s="76">
        <f>N37+N55</f>
        <v>0</v>
      </c>
      <c r="P56" s="763"/>
      <c r="Q56" s="763"/>
    </row>
    <row r="57" spans="1:17" ht="26.25" customHeight="1" x14ac:dyDescent="0.3">
      <c r="A57" s="445">
        <v>1</v>
      </c>
      <c r="B57" s="660">
        <v>50</v>
      </c>
      <c r="C57" s="429" t="s">
        <v>513</v>
      </c>
      <c r="D57" s="428" t="s">
        <v>1069</v>
      </c>
      <c r="E57" s="428" t="s">
        <v>331</v>
      </c>
      <c r="F57" s="27"/>
      <c r="G57" s="601" t="s">
        <v>331</v>
      </c>
      <c r="H57" s="602"/>
      <c r="I57" s="602"/>
      <c r="J57" s="603"/>
      <c r="K57" s="604" t="str">
        <f>VLOOKUP(B57,'radky_V'!A:M,13,0)</f>
        <v>Daň z příjmů</v>
      </c>
      <c r="L57" s="605">
        <f>IF($L$4="f",B57,IF($L$4="z",IF(OR(M57&lt;&gt;0,N57&lt;&gt;0),B57,"-"),IF($L$4="m",IF(OR(M57&lt;&gt;0,N57&lt;&gt;0),MAX($L$8:L56)+1,"-"),"-")))</f>
        <v>50</v>
      </c>
      <c r="M57" s="415">
        <f>IF($E57="calc",ROUND($A57*SUMIFS(DATA!$Y:$Y,DATA!$C:$C,INDEX!$D$11,DATA!$N:$N,$C57,DATA!$S:$S,$B57),0)+P57,SUMIFS(M:M,$D:$D,E57))</f>
        <v>0</v>
      </c>
      <c r="N57" s="416">
        <f>IF($E57="calc",ROUND($A57*SUMIFS(DATA!$Y:$Y,DATA!$C:$C,INDEX!$E$11,DATA!$N:$N,$C57,DATA!$S:$S,$B57),0)+Q57,SUMIFS(N:N,$D:$D,E57))</f>
        <v>0</v>
      </c>
      <c r="O57" s="11"/>
      <c r="P57" s="763"/>
      <c r="Q57" s="763"/>
    </row>
    <row r="58" spans="1:17" ht="25.8" x14ac:dyDescent="0.3">
      <c r="A58" s="445">
        <v>1</v>
      </c>
      <c r="B58" s="660">
        <v>51</v>
      </c>
      <c r="C58" s="429" t="s">
        <v>513</v>
      </c>
      <c r="D58" s="428" t="s">
        <v>331</v>
      </c>
      <c r="E58" s="428" t="s">
        <v>1006</v>
      </c>
      <c r="F58" s="27"/>
      <c r="G58" s="606"/>
      <c r="H58" s="607" t="s">
        <v>331</v>
      </c>
      <c r="I58" s="607" t="s">
        <v>242</v>
      </c>
      <c r="J58" s="607"/>
      <c r="K58" s="608" t="str">
        <f>VLOOKUP(B58,'radky_V'!A:M,13,0)</f>
        <v>Daň z příjmů splatná</v>
      </c>
      <c r="L58" s="609">
        <f>IF($L$4="f",B58,IF($L$4="z",IF(OR(M58&lt;&gt;0,N58&lt;&gt;0),B58,"-"),IF($L$4="m",IF(OR(M58&lt;&gt;0,N58&lt;&gt;0),MAX($L$8:L57)+1,"-"),"-")))</f>
        <v>51</v>
      </c>
      <c r="M58" s="398">
        <f>IF($E58="calc",ROUND($A58*SUMIFS(DATA!$Y:$Y,DATA!$C:$C,INDEX!$D$11,DATA!$N:$N,$C58,DATA!$S:$S,$B58),0)+P58,SUMIFS(M:M,$D:$D,E58))</f>
        <v>0</v>
      </c>
      <c r="N58" s="399">
        <f>IF($E58="calc",ROUND($A58*SUMIFS(DATA!$Y:$Y,DATA!$C:$C,INDEX!$E$11,DATA!$N:$N,$C58,DATA!$S:$S,$B58),0)+Q58,SUMIFS(N:N,$D:$D,E58))</f>
        <v>0</v>
      </c>
      <c r="O58" s="11"/>
      <c r="P58" s="282"/>
      <c r="Q58" s="282"/>
    </row>
    <row r="59" spans="1:17" ht="25.8" x14ac:dyDescent="0.3">
      <c r="A59" s="445">
        <v>1</v>
      </c>
      <c r="B59" s="660">
        <v>52</v>
      </c>
      <c r="C59" s="429" t="s">
        <v>513</v>
      </c>
      <c r="D59" s="428" t="s">
        <v>331</v>
      </c>
      <c r="E59" s="428" t="s">
        <v>1006</v>
      </c>
      <c r="F59" s="27"/>
      <c r="G59" s="606"/>
      <c r="H59" s="607" t="s">
        <v>331</v>
      </c>
      <c r="I59" s="607" t="s">
        <v>243</v>
      </c>
      <c r="J59" s="607"/>
      <c r="K59" s="608" t="str">
        <f>VLOOKUP(B59,'radky_V'!A:M,13,0)</f>
        <v>Daň z příjmů odložená (+/-)</v>
      </c>
      <c r="L59" s="609">
        <f>IF($L$4="f",B59,IF($L$4="z",IF(OR(M59&lt;&gt;0,N59&lt;&gt;0),B59,"-"),IF($L$4="m",IF(OR(M59&lt;&gt;0,N59&lt;&gt;0),MAX($L$8:L58)+1,"-"),"-")))</f>
        <v>52</v>
      </c>
      <c r="M59" s="398">
        <f>IF($E59="calc",ROUND($A59*SUMIFS(DATA!$Y:$Y,DATA!$C:$C,INDEX!$D$11,DATA!$N:$N,$C59,DATA!$S:$S,$B59),0)+P59,SUMIFS(M:M,$D:$D,E59))</f>
        <v>0</v>
      </c>
      <c r="N59" s="399">
        <f>IF($E59="calc",ROUND($A59*SUMIFS(DATA!$Y:$Y,DATA!$C:$C,INDEX!$E$11,DATA!$N:$N,$C59,DATA!$S:$S,$B59),0)+Q59,SUMIFS(N:N,$D:$D,E59))</f>
        <v>0</v>
      </c>
      <c r="O59" s="770" t="s">
        <v>620</v>
      </c>
      <c r="P59" s="282"/>
      <c r="Q59" s="282"/>
    </row>
    <row r="60" spans="1:17" ht="26.4" thickBot="1" x14ac:dyDescent="0.35">
      <c r="B60" s="662">
        <v>53</v>
      </c>
      <c r="C60" s="429" t="s">
        <v>515</v>
      </c>
      <c r="E60" s="428" t="s">
        <v>1069</v>
      </c>
      <c r="F60" s="26"/>
      <c r="G60" s="627" t="s">
        <v>263</v>
      </c>
      <c r="H60" s="628" t="s">
        <v>263</v>
      </c>
      <c r="I60" s="628"/>
      <c r="J60" s="629"/>
      <c r="K60" s="630" t="str">
        <f>VLOOKUP(B60,'radky_V'!A:M,13,0)</f>
        <v>Výsledek hospodaření po zdanění (+/-)</v>
      </c>
      <c r="L60" s="631">
        <f>IF($L$4="f",B60,IF($L$4="z",IF(OR(M60&lt;&gt;0,N60&lt;&gt;0),B60,"-"),IF($L$4="m",IF(OR(M60&lt;&gt;0,N60&lt;&gt;0),MAX($L$8:L59)+1,"-"),"-")))</f>
        <v>53</v>
      </c>
      <c r="M60" s="75">
        <f>SUMIFS(M:M,$D:$D,$E60,$C:$C,"Výnosy")-SUMIFS(M:M,$D:$D,$E60,$C:$C,"Náklady")</f>
        <v>0</v>
      </c>
      <c r="N60" s="76">
        <f>SUMIFS(N:N,$D:$D,$E60,$C:$C,"Výnosy")-SUMIFS(N:N,$D:$D,$E60,$C:$C,"Náklady")</f>
        <v>0</v>
      </c>
      <c r="O60" s="770"/>
      <c r="P60" s="763"/>
      <c r="Q60" s="763"/>
    </row>
    <row r="61" spans="1:17" ht="25.8" x14ac:dyDescent="0.3">
      <c r="A61" s="445">
        <v>-1</v>
      </c>
      <c r="B61" s="660">
        <v>54</v>
      </c>
      <c r="C61" s="429" t="s">
        <v>515</v>
      </c>
      <c r="D61" s="428" t="s">
        <v>332</v>
      </c>
      <c r="E61" s="428" t="s">
        <v>1006</v>
      </c>
      <c r="F61" s="27"/>
      <c r="G61" s="596" t="s">
        <v>1004</v>
      </c>
      <c r="H61" s="597"/>
      <c r="I61" s="597"/>
      <c r="J61" s="598"/>
      <c r="K61" s="599" t="str">
        <f>VLOOKUP(B61,'radky_V'!A:M,13,0)</f>
        <v>Převod podílu na výsledku hospodaření společníkům (+/-)</v>
      </c>
      <c r="L61" s="600">
        <f>IF($L$4="f",B61,IF($L$4="z",IF(OR(M61&lt;&gt;0,N61&lt;&gt;0),B61,"-"),IF($L$4="m",IF(OR(M61&lt;&gt;0,N61&lt;&gt;0),MAX($L$8:L60)+1,"-"),"-")))</f>
        <v>54</v>
      </c>
      <c r="M61" s="413">
        <f>IF($E61="calc",ROUND($A61*SUMIFS(DATA!$Y:$Y,DATA!$C:$C,INDEX!$D$11,DATA!$N:$N,$C61,DATA!$S:$S,$B61),0)+P61,SUMIFS(M:M,$D:$D,E61))</f>
        <v>0</v>
      </c>
      <c r="N61" s="414">
        <f>IF($E61="calc",ROUND($A61*SUMIFS(DATA!$Y:$Y,DATA!$C:$C,INDEX!$E$11,DATA!$N:$N,$C61,DATA!$S:$S,$B61),0)+Q61,SUMIFS(N:N,$D:$D,E61))</f>
        <v>0</v>
      </c>
      <c r="O61" s="770"/>
      <c r="P61" s="282"/>
      <c r="Q61" s="282"/>
    </row>
    <row r="62" spans="1:17" ht="26.4" thickBot="1" x14ac:dyDescent="0.35">
      <c r="B62" s="662">
        <v>55</v>
      </c>
      <c r="F62" s="26"/>
      <c r="G62" s="627" t="s">
        <v>263</v>
      </c>
      <c r="H62" s="628" t="s">
        <v>263</v>
      </c>
      <c r="I62" s="628" t="s">
        <v>263</v>
      </c>
      <c r="J62" s="629"/>
      <c r="K62" s="630" t="str">
        <f>VLOOKUP(B62,'radky_V'!A:M,13,0)</f>
        <v>Výsledek hospodaření za účetní období (+/-)</v>
      </c>
      <c r="L62" s="631">
        <f>IF($L$4="f",B62,IF($L$4="z",IF(OR(M62&lt;&gt;0,N62&lt;&gt;0),B62,"-"),IF($L$4="m",IF(OR(M62&lt;&gt;0,N62&lt;&gt;0),MAX($L$8:L61)+1,"-"),"-")))</f>
        <v>55</v>
      </c>
      <c r="M62" s="75">
        <f>M60+M61</f>
        <v>0</v>
      </c>
      <c r="N62" s="76">
        <f>N60+N61</f>
        <v>0</v>
      </c>
      <c r="O62" s="770"/>
      <c r="P62" s="763"/>
      <c r="Q62" s="763"/>
    </row>
    <row r="63" spans="1:17" s="10" customFormat="1" ht="26.4" thickBot="1" x14ac:dyDescent="0.55000000000000004">
      <c r="A63" s="444"/>
      <c r="B63" s="663">
        <v>56</v>
      </c>
      <c r="C63" s="426"/>
      <c r="D63" s="425"/>
      <c r="E63" s="425"/>
      <c r="F63" s="410"/>
      <c r="G63" s="632" t="s">
        <v>263</v>
      </c>
      <c r="H63" s="633"/>
      <c r="I63" s="633"/>
      <c r="J63" s="634"/>
      <c r="K63" s="635" t="str">
        <f>VLOOKUP(B63,'radky_V'!A:M,13,0)</f>
        <v>Čistý obrat za účetní období (I. + II. + III. + IV. + V. + VI. + VII.)</v>
      </c>
      <c r="L63" s="636">
        <f>IF($L$4="f",B63,IF($L$4="z",IF(OR(M63&lt;&gt;0,N63&lt;&gt;0),B63,"-"),IF($L$4="m",IF(OR(M63&lt;&gt;0,N63&lt;&gt;0),MAX($L$8:L62)+1,"-"),"-")))</f>
        <v>56</v>
      </c>
      <c r="M63" s="794"/>
      <c r="N63" s="795"/>
      <c r="O63" s="770"/>
      <c r="P63" s="764"/>
      <c r="Q63" s="764"/>
    </row>
    <row r="64" spans="1:17" ht="7.5" customHeight="1" x14ac:dyDescent="0.3"/>
  </sheetData>
  <sheetProtection algorithmName="SHA-512" hashValue="yrWGBWvUWJUqXKDJdTwqmRORZGOCVhra/ovmOq4etZs3XVNY6qAzVoQTPgM6uSFViklFhEEY/3q0AAQqJI8eVA==" saltValue="7pTAKr93XG5fWCg6MSC/Ag==" spinCount="100000" sheet="1" objects="1" scenarios="1" autoFilter="0"/>
  <autoFilter ref="L7:L63" xr:uid="{00000000-0009-0000-0000-000005000000}"/>
  <mergeCells count="5">
    <mergeCell ref="G5:J5"/>
    <mergeCell ref="G7:J7"/>
    <mergeCell ref="M5:N5"/>
    <mergeCell ref="O33:O37"/>
    <mergeCell ref="O59:O63"/>
  </mergeCells>
  <conditionalFormatting sqref="P7:Q7">
    <cfRule type="cellIs" dxfId="114" priority="28" operator="equal">
      <formula>0</formula>
    </cfRule>
  </conditionalFormatting>
  <conditionalFormatting sqref="P8:Q9">
    <cfRule type="expression" dxfId="113" priority="27">
      <formula>P$7&lt;&gt;0</formula>
    </cfRule>
  </conditionalFormatting>
  <conditionalFormatting sqref="P11:Q15">
    <cfRule type="expression" dxfId="112" priority="23">
      <formula>P$7&lt;&gt;0</formula>
    </cfRule>
  </conditionalFormatting>
  <conditionalFormatting sqref="P17:Q17">
    <cfRule type="expression" dxfId="111" priority="20">
      <formula>P$7&lt;&gt;0</formula>
    </cfRule>
  </conditionalFormatting>
  <conditionalFormatting sqref="P19:Q20">
    <cfRule type="expression" dxfId="110" priority="19">
      <formula>P$7&lt;&gt;0</formula>
    </cfRule>
  </conditionalFormatting>
  <conditionalFormatting sqref="P23:Q26">
    <cfRule type="expression" dxfId="109" priority="15">
      <formula>P$7&lt;&gt;0</formula>
    </cfRule>
  </conditionalFormatting>
  <conditionalFormatting sqref="P28:Q30">
    <cfRule type="expression" dxfId="108" priority="13">
      <formula>P$7&lt;&gt;0</formula>
    </cfRule>
  </conditionalFormatting>
  <conditionalFormatting sqref="P32:Q36">
    <cfRule type="expression" dxfId="107" priority="12">
      <formula>P$7&lt;&gt;0</formula>
    </cfRule>
  </conditionalFormatting>
  <conditionalFormatting sqref="P39:Q41">
    <cfRule type="expression" dxfId="106" priority="10">
      <formula>P$7&lt;&gt;0</formula>
    </cfRule>
  </conditionalFormatting>
  <conditionalFormatting sqref="P43:Q45">
    <cfRule type="expression" dxfId="105" priority="8">
      <formula>P$7&lt;&gt;0</formula>
    </cfRule>
  </conditionalFormatting>
  <conditionalFormatting sqref="P47:Q49">
    <cfRule type="expression" dxfId="104" priority="5">
      <formula>P$7&lt;&gt;0</formula>
    </cfRule>
  </conditionalFormatting>
  <conditionalFormatting sqref="P51:Q54">
    <cfRule type="expression" dxfId="103" priority="3">
      <formula>P$7&lt;&gt;0</formula>
    </cfRule>
  </conditionalFormatting>
  <conditionalFormatting sqref="P58:Q59">
    <cfRule type="expression" dxfId="102" priority="2">
      <formula>P$7&lt;&gt;0</formula>
    </cfRule>
  </conditionalFormatting>
  <conditionalFormatting sqref="P61:Q61">
    <cfRule type="expression" dxfId="101" priority="1">
      <formula>P$7&lt;&gt;0</formula>
    </cfRule>
  </conditionalFormatting>
  <pageMargins left="0.39370078740157483" right="0.39370078740157483" top="0.19685039370078741" bottom="0.39370078740157483" header="0" footer="0"/>
  <pageSetup paperSize="9" scale="65" fitToHeight="0" orientation="portrait" r:id="rId1"/>
  <headerFooter scaleWithDoc="0"/>
  <rowBreaks count="1" manualBreakCount="1">
    <brk id="37" min="6" max="13" man="1"/>
  </rowBreaks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4"/>
  </sheetPr>
  <dimension ref="A1:F6"/>
  <sheetViews>
    <sheetView showGridLines="0" zoomScaleNormal="100" workbookViewId="0">
      <pane ySplit="1" topLeftCell="A2" activePane="bottomLeft" state="frozen"/>
      <selection activeCell="B4" sqref="B4"/>
      <selection pane="bottomLeft" activeCell="B4" sqref="B4"/>
    </sheetView>
  </sheetViews>
  <sheetFormatPr defaultColWidth="9.109375" defaultRowHeight="10.199999999999999" x14ac:dyDescent="0.2"/>
  <cols>
    <col min="1" max="1" width="9.6640625" style="1" customWidth="1"/>
    <col min="2" max="2" width="18.88671875" style="1" customWidth="1"/>
    <col min="3" max="3" width="10.5546875" style="1" customWidth="1"/>
    <col min="4" max="4" width="14.44140625" style="1" customWidth="1"/>
    <col min="5" max="5" width="15.109375" style="1" customWidth="1"/>
    <col min="6" max="6" width="8.88671875" style="1" customWidth="1"/>
    <col min="7" max="16384" width="9.109375" style="1"/>
  </cols>
  <sheetData>
    <row r="1" spans="1:6" x14ac:dyDescent="0.2">
      <c r="A1" s="270" t="s">
        <v>315</v>
      </c>
      <c r="B1" s="1" t="s">
        <v>228</v>
      </c>
      <c r="C1" s="268" t="s">
        <v>316</v>
      </c>
      <c r="D1" s="1" t="s">
        <v>883</v>
      </c>
      <c r="E1" s="270" t="s">
        <v>885</v>
      </c>
      <c r="F1" s="271" t="s">
        <v>886</v>
      </c>
    </row>
    <row r="2" spans="1:6" x14ac:dyDescent="0.2">
      <c r="A2" s="325"/>
      <c r="B2" s="1" t="e">
        <f>VLOOKUP(A2,DATA!D:E,2,0)</f>
        <v>#N/A</v>
      </c>
      <c r="C2" s="268" t="e">
        <f>VALUE(LEFT(A2,LEN(A2)-(INDEX!$E$13-3)))</f>
        <v>#VALUE!</v>
      </c>
      <c r="D2" s="1" t="e">
        <f>VLOOKUP(C2,ucty_synt!A:T,16,0)</f>
        <v>#VALUE!</v>
      </c>
      <c r="E2" s="13"/>
      <c r="F2" s="272" t="str">
        <f>IF(COUNTIF(A:A,Tabulka6[[#This Row],[ucet]])=1,"ok",IF(COUNTIF(A:A,Tabulka6[[#This Row],[ucet]])&gt;1,"vícenásobný","chybí účet"))</f>
        <v>chybí účet</v>
      </c>
    </row>
    <row r="3" spans="1:6" x14ac:dyDescent="0.2">
      <c r="A3" s="325"/>
      <c r="B3" s="1" t="e">
        <f>VLOOKUP(A3,DATA!D:E,2,0)</f>
        <v>#N/A</v>
      </c>
      <c r="C3" s="268" t="e">
        <f>VALUE(LEFT(A3,LEN(A3)-(INDEX!$E$13-3)))</f>
        <v>#VALUE!</v>
      </c>
      <c r="D3" s="1" t="e">
        <f>VLOOKUP(C3,ucty_synt!A:T,16,0)</f>
        <v>#VALUE!</v>
      </c>
      <c r="E3" s="13"/>
      <c r="F3" s="272" t="str">
        <f>IF(COUNTIF(A:A,Tabulka6[[#This Row],[ucet]])=1,"ok",IF(COUNTIF(A:A,Tabulka6[[#This Row],[ucet]])&gt;1,"vícenásobný","chybí účet"))</f>
        <v>chybí účet</v>
      </c>
    </row>
    <row r="4" spans="1:6" x14ac:dyDescent="0.2">
      <c r="A4" s="325"/>
      <c r="B4" s="1" t="e">
        <f>VLOOKUP(A4,DATA!D:E,2,0)</f>
        <v>#N/A</v>
      </c>
      <c r="C4" s="268" t="e">
        <f>VALUE(LEFT(A4,LEN(A4)-(INDEX!$E$13-3)))</f>
        <v>#VALUE!</v>
      </c>
      <c r="D4" s="1" t="e">
        <f>VLOOKUP(C4,ucty_synt!A:T,16,0)</f>
        <v>#VALUE!</v>
      </c>
      <c r="E4" s="13"/>
      <c r="F4" s="272" t="str">
        <f>IF(COUNTIF(A:A,Tabulka6[[#This Row],[ucet]])=1,"ok",IF(COUNTIF(A:A,Tabulka6[[#This Row],[ucet]])&gt;1,"vícenásobný","chybí účet"))</f>
        <v>chybí účet</v>
      </c>
    </row>
    <row r="5" spans="1:6" x14ac:dyDescent="0.2">
      <c r="A5" s="325"/>
      <c r="B5" s="1" t="e">
        <f>VLOOKUP(A5,DATA!D:E,2,0)</f>
        <v>#N/A</v>
      </c>
      <c r="C5" s="268" t="e">
        <f>VALUE(LEFT(A5,LEN(A5)-(INDEX!$E$13-3)))</f>
        <v>#VALUE!</v>
      </c>
      <c r="D5" s="1" t="e">
        <f>VLOOKUP(C5,ucty_synt!A:T,16,0)</f>
        <v>#VALUE!</v>
      </c>
      <c r="E5" s="13"/>
      <c r="F5" s="272" t="str">
        <f>IF(COUNTIF(A:A,Tabulka6[[#This Row],[ucet]])=1,"ok",IF(COUNTIF(A:A,Tabulka6[[#This Row],[ucet]])&gt;1,"vícenásobný","chybí účet"))</f>
        <v>chybí účet</v>
      </c>
    </row>
    <row r="6" spans="1:6" x14ac:dyDescent="0.2">
      <c r="A6" s="325"/>
      <c r="B6" s="1" t="e">
        <f>VLOOKUP(A6,DATA!D:E,2,0)</f>
        <v>#N/A</v>
      </c>
      <c r="C6" s="268" t="e">
        <f>VALUE(LEFT(A6,LEN(A6)-(INDEX!$E$13-3)))</f>
        <v>#VALUE!</v>
      </c>
      <c r="D6" s="1" t="e">
        <f>VLOOKUP(C6,ucty_synt!A:T,16,0)</f>
        <v>#VALUE!</v>
      </c>
      <c r="E6" s="13"/>
      <c r="F6" s="272" t="str">
        <f>IF(COUNTIF(A:A,Tabulka6[[#This Row],[ucet]])=1,"ok",IF(COUNTIF(A:A,Tabulka6[[#This Row],[ucet]])&gt;1,"vícenásobný","chybí účet"))</f>
        <v>chybí účet</v>
      </c>
    </row>
  </sheetData>
  <sheetProtection insertRows="0" autoFilter="0"/>
  <pageMargins left="0.7" right="0.7" top="0.78740157499999996" bottom="0.78740157499999996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List9">
    <outlinePr summaryBelow="0" summaryRight="0"/>
  </sheetPr>
  <dimension ref="A1:O143"/>
  <sheetViews>
    <sheetView showGridLines="0" workbookViewId="0">
      <pane ySplit="1" topLeftCell="A113" activePane="bottomLeft" state="frozen"/>
      <selection activeCell="B293" sqref="B293"/>
      <selection pane="bottomLeft" activeCell="C148" sqref="C148"/>
    </sheetView>
  </sheetViews>
  <sheetFormatPr defaultColWidth="9.109375" defaultRowHeight="10.199999999999999" outlineLevelCol="1" x14ac:dyDescent="0.3"/>
  <cols>
    <col min="1" max="1" width="5.33203125" style="277" customWidth="1"/>
    <col min="2" max="2" width="45.109375" style="157" customWidth="1"/>
    <col min="3" max="4" width="36.88671875" style="157" customWidth="1" outlineLevel="1"/>
    <col min="5" max="5" width="6.6640625" style="276" customWidth="1"/>
    <col min="6" max="6" width="5.88671875" style="276" customWidth="1"/>
    <col min="7" max="7" width="6.5546875" style="158" customWidth="1"/>
    <col min="8" max="12" width="6" style="157" customWidth="1"/>
    <col min="13" max="13" width="25.6640625" style="154" customWidth="1"/>
    <col min="14" max="14" width="30.6640625" style="154" customWidth="1"/>
    <col min="15" max="15" width="46.6640625" style="153" customWidth="1"/>
    <col min="16" max="16384" width="9.109375" style="154"/>
  </cols>
  <sheetData>
    <row r="1" spans="1:15" x14ac:dyDescent="0.3">
      <c r="A1" s="273" t="s">
        <v>258</v>
      </c>
      <c r="B1" s="151" t="s">
        <v>288</v>
      </c>
      <c r="C1" s="151" t="s">
        <v>289</v>
      </c>
      <c r="D1" s="151" t="s">
        <v>290</v>
      </c>
      <c r="E1" s="274" t="s">
        <v>233</v>
      </c>
      <c r="F1" s="274" t="s">
        <v>303</v>
      </c>
      <c r="G1" s="152" t="s">
        <v>264</v>
      </c>
      <c r="H1" s="151" t="s">
        <v>519</v>
      </c>
      <c r="I1" s="151" t="s">
        <v>520</v>
      </c>
      <c r="J1" s="151" t="s">
        <v>522</v>
      </c>
      <c r="K1" s="151" t="s">
        <v>766</v>
      </c>
      <c r="L1" s="151" t="s">
        <v>944</v>
      </c>
      <c r="M1" s="153" t="s">
        <v>521</v>
      </c>
      <c r="N1" s="153" t="s">
        <v>348</v>
      </c>
      <c r="O1" s="153" t="s">
        <v>301</v>
      </c>
    </row>
    <row r="2" spans="1:15" x14ac:dyDescent="0.3">
      <c r="A2" s="275">
        <v>1</v>
      </c>
      <c r="B2" s="157" t="s">
        <v>1072</v>
      </c>
      <c r="C2" s="157" t="s">
        <v>1073</v>
      </c>
      <c r="D2" s="157" t="s">
        <v>1074</v>
      </c>
      <c r="E2" s="276" t="s">
        <v>351</v>
      </c>
      <c r="F2" s="276" t="s">
        <v>516</v>
      </c>
      <c r="M2" s="154" t="str">
        <f t="shared" ref="M2:M27" si="0">IF(AND(H2=0,I2=0,J2=0),"-",IF(A2=2,CONCATENATE(H2,I2," ",B2),IF(ISBLANK(H1),CONCATENATE(H2,I2," ",B1),M1)))</f>
        <v>-</v>
      </c>
      <c r="N2" s="154" t="str">
        <f t="shared" ref="N2:N33" si="1">IF(ISBLANK(H2),"-",CONCATENATE(TEXT(A2,"000")," ",B2))</f>
        <v>-</v>
      </c>
      <c r="O2" s="153" t="str">
        <f t="shared" ref="O2:O33" si="2">IF(jazyk="česky",B2,IF(jazyk="anglicky",C2,IF(jazyk="německy",D2,"-")))</f>
        <v>AKTIVA CELKEM      (ř. 02 + 03 + 37 + 74)</v>
      </c>
    </row>
    <row r="3" spans="1:15" x14ac:dyDescent="0.3">
      <c r="A3" s="275">
        <v>2</v>
      </c>
      <c r="B3" s="157" t="s">
        <v>90</v>
      </c>
      <c r="C3" s="157" t="s">
        <v>410</v>
      </c>
      <c r="D3" s="157" t="s">
        <v>352</v>
      </c>
      <c r="E3" s="276" t="s">
        <v>351</v>
      </c>
      <c r="F3" s="276" t="s">
        <v>516</v>
      </c>
      <c r="H3" s="157" t="s">
        <v>239</v>
      </c>
      <c r="M3" s="154" t="str">
        <f t="shared" si="0"/>
        <v>A. Pohledávky za upsaný základní kapitál</v>
      </c>
      <c r="N3" s="154" t="str">
        <f t="shared" si="1"/>
        <v>002 Pohledávky za upsaný základní kapitál</v>
      </c>
      <c r="O3" s="153" t="str">
        <f t="shared" si="2"/>
        <v>Pohledávky za upsaný základní kapitál</v>
      </c>
    </row>
    <row r="4" spans="1:15" x14ac:dyDescent="0.3">
      <c r="A4" s="275">
        <v>3</v>
      </c>
      <c r="B4" s="157" t="s">
        <v>1242</v>
      </c>
      <c r="C4" s="157" t="s">
        <v>1075</v>
      </c>
      <c r="D4" s="157" t="s">
        <v>1076</v>
      </c>
      <c r="E4" s="276" t="s">
        <v>351</v>
      </c>
      <c r="F4" s="276" t="s">
        <v>516</v>
      </c>
      <c r="M4" s="154" t="str">
        <f t="shared" si="0"/>
        <v>-</v>
      </c>
      <c r="N4" s="154" t="str">
        <f t="shared" si="1"/>
        <v>-</v>
      </c>
      <c r="O4" s="153" t="str">
        <f t="shared" si="2"/>
        <v>Stálá aktiva      (ř. 04 + 14 + 27)</v>
      </c>
    </row>
    <row r="5" spans="1:15" x14ac:dyDescent="0.3">
      <c r="A5" s="275">
        <v>4</v>
      </c>
      <c r="B5" s="157" t="s">
        <v>1077</v>
      </c>
      <c r="C5" s="157" t="s">
        <v>1078</v>
      </c>
      <c r="D5" s="157" t="s">
        <v>1079</v>
      </c>
      <c r="E5" s="276" t="s">
        <v>351</v>
      </c>
      <c r="F5" s="276" t="s">
        <v>516</v>
      </c>
      <c r="M5" s="154" t="str">
        <f t="shared" si="0"/>
        <v>-</v>
      </c>
      <c r="N5" s="154" t="str">
        <f t="shared" si="1"/>
        <v>-</v>
      </c>
      <c r="O5" s="153" t="str">
        <f t="shared" si="2"/>
        <v>Dlouhodobý nehmotný majetek      (ř. 05 + 06 + 09 + 10 + 11)</v>
      </c>
    </row>
    <row r="6" spans="1:15" x14ac:dyDescent="0.3">
      <c r="A6" s="275">
        <v>5</v>
      </c>
      <c r="B6" s="157" t="s">
        <v>1243</v>
      </c>
      <c r="C6" s="157" t="s">
        <v>411</v>
      </c>
      <c r="D6" s="157" t="s">
        <v>353</v>
      </c>
      <c r="E6" s="276" t="s">
        <v>351</v>
      </c>
      <c r="F6" s="276" t="s">
        <v>516</v>
      </c>
      <c r="H6" s="157" t="s">
        <v>240</v>
      </c>
      <c r="I6" s="157" t="s">
        <v>241</v>
      </c>
      <c r="J6" s="157" t="s">
        <v>242</v>
      </c>
      <c r="M6" s="154" t="str">
        <f t="shared" si="0"/>
        <v>B.I. Dlouhodobý nehmotný majetek      (ř. 05 + 06 + 09 + 10 + 11)</v>
      </c>
      <c r="N6" s="154" t="str">
        <f t="shared" si="1"/>
        <v xml:space="preserve">005 Nehmotné výsledky vývoje </v>
      </c>
      <c r="O6" s="153" t="str">
        <f t="shared" si="2"/>
        <v xml:space="preserve">Nehmotné výsledky vývoje </v>
      </c>
    </row>
    <row r="7" spans="1:15" x14ac:dyDescent="0.3">
      <c r="A7" s="275">
        <v>6</v>
      </c>
      <c r="B7" s="157" t="s">
        <v>2</v>
      </c>
      <c r="C7" s="157" t="s">
        <v>412</v>
      </c>
      <c r="D7" s="157" t="s">
        <v>1080</v>
      </c>
      <c r="E7" s="276" t="s">
        <v>351</v>
      </c>
      <c r="F7" s="276" t="s">
        <v>516</v>
      </c>
      <c r="H7" s="157" t="s">
        <v>240</v>
      </c>
      <c r="I7" s="157" t="s">
        <v>241</v>
      </c>
      <c r="J7" s="157" t="s">
        <v>243</v>
      </c>
      <c r="M7" s="154" t="str">
        <f t="shared" si="0"/>
        <v>B.I. Dlouhodobý nehmotný majetek      (ř. 05 + 06 + 09 + 10 + 11)</v>
      </c>
      <c r="N7" s="154" t="str">
        <f t="shared" si="1"/>
        <v>006 Ocenitelná práva</v>
      </c>
      <c r="O7" s="153" t="str">
        <f t="shared" si="2"/>
        <v>Ocenitelná práva</v>
      </c>
    </row>
    <row r="8" spans="1:15" x14ac:dyDescent="0.3">
      <c r="A8" s="275">
        <v>7</v>
      </c>
      <c r="B8" s="157" t="s">
        <v>1</v>
      </c>
      <c r="C8" s="157" t="s">
        <v>1</v>
      </c>
      <c r="D8" s="157" t="s">
        <v>1</v>
      </c>
      <c r="E8" s="276" t="s">
        <v>351</v>
      </c>
      <c r="F8" s="276" t="s">
        <v>516</v>
      </c>
      <c r="H8" s="157" t="s">
        <v>240</v>
      </c>
      <c r="I8" s="157" t="s">
        <v>241</v>
      </c>
      <c r="J8" s="157" t="s">
        <v>243</v>
      </c>
      <c r="K8" s="157" t="s">
        <v>242</v>
      </c>
      <c r="M8" s="154" t="str">
        <f t="shared" si="0"/>
        <v>B.I. Dlouhodobý nehmotný majetek      (ř. 05 + 06 + 09 + 10 + 11)</v>
      </c>
      <c r="N8" s="154" t="str">
        <f t="shared" si="1"/>
        <v>007 Software</v>
      </c>
      <c r="O8" s="153" t="str">
        <f t="shared" si="2"/>
        <v>Software</v>
      </c>
    </row>
    <row r="9" spans="1:15" x14ac:dyDescent="0.3">
      <c r="A9" s="275">
        <v>8</v>
      </c>
      <c r="B9" s="157" t="s">
        <v>923</v>
      </c>
      <c r="C9" s="157" t="s">
        <v>1081</v>
      </c>
      <c r="D9" s="157" t="s">
        <v>354</v>
      </c>
      <c r="E9" s="276" t="s">
        <v>351</v>
      </c>
      <c r="F9" s="276" t="s">
        <v>516</v>
      </c>
      <c r="H9" s="157" t="s">
        <v>240</v>
      </c>
      <c r="I9" s="157" t="s">
        <v>241</v>
      </c>
      <c r="J9" s="157" t="s">
        <v>243</v>
      </c>
      <c r="K9" s="157" t="s">
        <v>243</v>
      </c>
      <c r="M9" s="154" t="str">
        <f t="shared" si="0"/>
        <v>B.I. Dlouhodobý nehmotný majetek      (ř. 05 + 06 + 09 + 10 + 11)</v>
      </c>
      <c r="N9" s="154" t="str">
        <f t="shared" si="1"/>
        <v>008 Ostatní ocenitelná práva</v>
      </c>
      <c r="O9" s="153" t="str">
        <f t="shared" si="2"/>
        <v>Ostatní ocenitelná práva</v>
      </c>
    </row>
    <row r="10" spans="1:15" x14ac:dyDescent="0.3">
      <c r="A10" s="275">
        <v>9</v>
      </c>
      <c r="B10" s="157" t="s">
        <v>3</v>
      </c>
      <c r="C10" s="157" t="s">
        <v>3</v>
      </c>
      <c r="D10" s="157" t="s">
        <v>1082</v>
      </c>
      <c r="E10" s="276" t="s">
        <v>351</v>
      </c>
      <c r="F10" s="276" t="s">
        <v>516</v>
      </c>
      <c r="H10" s="157" t="s">
        <v>240</v>
      </c>
      <c r="I10" s="157" t="s">
        <v>241</v>
      </c>
      <c r="J10" s="157" t="s">
        <v>244</v>
      </c>
      <c r="M10" s="154" t="str">
        <f t="shared" si="0"/>
        <v>B.I. Dlouhodobý nehmotný majetek      (ř. 05 + 06 + 09 + 10 + 11)</v>
      </c>
      <c r="N10" s="154" t="str">
        <f t="shared" si="1"/>
        <v>009 Goodwill</v>
      </c>
      <c r="O10" s="153" t="str">
        <f t="shared" si="2"/>
        <v>Goodwill</v>
      </c>
    </row>
    <row r="11" spans="1:15" x14ac:dyDescent="0.3">
      <c r="A11" s="275">
        <v>10</v>
      </c>
      <c r="B11" s="157" t="s">
        <v>924</v>
      </c>
      <c r="C11" s="157" t="s">
        <v>413</v>
      </c>
      <c r="D11" s="157" t="s">
        <v>355</v>
      </c>
      <c r="E11" s="276" t="s">
        <v>351</v>
      </c>
      <c r="F11" s="276" t="s">
        <v>516</v>
      </c>
      <c r="H11" s="157" t="s">
        <v>240</v>
      </c>
      <c r="I11" s="157" t="s">
        <v>241</v>
      </c>
      <c r="J11" s="157" t="s">
        <v>245</v>
      </c>
      <c r="M11" s="154" t="str">
        <f t="shared" si="0"/>
        <v>B.I. Dlouhodobý nehmotný majetek      (ř. 05 + 06 + 09 + 10 + 11)</v>
      </c>
      <c r="N11" s="154" t="str">
        <f t="shared" si="1"/>
        <v>010 Ostatní dlouhodobý nehmotný majetek</v>
      </c>
      <c r="O11" s="153" t="str">
        <f t="shared" si="2"/>
        <v>Ostatní dlouhodobý nehmotný majetek</v>
      </c>
    </row>
    <row r="12" spans="1:15" x14ac:dyDescent="0.3">
      <c r="A12" s="275">
        <v>11</v>
      </c>
      <c r="B12" s="157" t="s">
        <v>1231</v>
      </c>
      <c r="C12" s="157" t="s">
        <v>1083</v>
      </c>
      <c r="D12" s="157" t="s">
        <v>1084</v>
      </c>
      <c r="E12" s="276" t="s">
        <v>351</v>
      </c>
      <c r="F12" s="276" t="s">
        <v>516</v>
      </c>
      <c r="H12" s="157" t="s">
        <v>240</v>
      </c>
      <c r="I12" s="157" t="s">
        <v>241</v>
      </c>
      <c r="J12" s="157" t="s">
        <v>246</v>
      </c>
      <c r="M12" s="154" t="str">
        <f t="shared" si="0"/>
        <v>B.I. Dlouhodobý nehmotný majetek      (ř. 05 + 06 + 09 + 10 + 11)</v>
      </c>
      <c r="N12" s="154" t="str">
        <f t="shared" si="1"/>
        <v>011 Poskytnuté zálohy na dlouh. nehm. majetek a nedokončený dlouh. nehm. majetek</v>
      </c>
      <c r="O12" s="153" t="str">
        <f t="shared" si="2"/>
        <v>Poskytnuté zálohy na dlouh. nehm. majetek a nedokončený dlouh. nehm. majetek</v>
      </c>
    </row>
    <row r="13" spans="1:15" x14ac:dyDescent="0.3">
      <c r="A13" s="275">
        <v>12</v>
      </c>
      <c r="B13" s="157" t="s">
        <v>1232</v>
      </c>
      <c r="C13" s="157" t="s">
        <v>415</v>
      </c>
      <c r="D13" s="157" t="s">
        <v>357</v>
      </c>
      <c r="E13" s="276" t="s">
        <v>351</v>
      </c>
      <c r="F13" s="276" t="s">
        <v>516</v>
      </c>
      <c r="H13" s="157" t="s">
        <v>240</v>
      </c>
      <c r="I13" s="157" t="s">
        <v>241</v>
      </c>
      <c r="J13" s="157" t="s">
        <v>246</v>
      </c>
      <c r="K13" s="157" t="s">
        <v>242</v>
      </c>
      <c r="M13" s="154" t="str">
        <f t="shared" si="0"/>
        <v>B.I. Dlouhodobý nehmotný majetek      (ř. 05 + 06 + 09 + 10 + 11)</v>
      </c>
      <c r="N13" s="154" t="str">
        <f t="shared" si="1"/>
        <v>012 Poskytnuté zálohy na dlouh. nehm. majetek</v>
      </c>
      <c r="O13" s="153" t="str">
        <f t="shared" si="2"/>
        <v>Poskytnuté zálohy na dlouh. nehm. majetek</v>
      </c>
    </row>
    <row r="14" spans="1:15" x14ac:dyDescent="0.3">
      <c r="A14" s="275">
        <v>13</v>
      </c>
      <c r="B14" s="157" t="s">
        <v>250</v>
      </c>
      <c r="C14" s="157" t="s">
        <v>414</v>
      </c>
      <c r="D14" s="157" t="s">
        <v>356</v>
      </c>
      <c r="E14" s="276" t="s">
        <v>351</v>
      </c>
      <c r="F14" s="276" t="s">
        <v>516</v>
      </c>
      <c r="H14" s="157" t="s">
        <v>240</v>
      </c>
      <c r="I14" s="157" t="s">
        <v>241</v>
      </c>
      <c r="J14" s="157" t="s">
        <v>246</v>
      </c>
      <c r="K14" s="353" t="s">
        <v>243</v>
      </c>
      <c r="L14" s="353"/>
      <c r="M14" s="355" t="str">
        <f t="shared" si="0"/>
        <v>B.I. Dlouhodobý nehmotný majetek      (ř. 05 + 06 + 09 + 10 + 11)</v>
      </c>
      <c r="N14" s="355" t="str">
        <f t="shared" si="1"/>
        <v>013 Nedokončený dlouhodobý nehmotný majetek</v>
      </c>
      <c r="O14" s="356" t="str">
        <f t="shared" si="2"/>
        <v>Nedokončený dlouhodobý nehmotný majetek</v>
      </c>
    </row>
    <row r="15" spans="1:15" x14ac:dyDescent="0.3">
      <c r="A15" s="275">
        <v>14</v>
      </c>
      <c r="B15" s="157" t="s">
        <v>1085</v>
      </c>
      <c r="C15" s="157" t="s">
        <v>1086</v>
      </c>
      <c r="D15" s="157" t="s">
        <v>1087</v>
      </c>
      <c r="E15" s="276" t="s">
        <v>351</v>
      </c>
      <c r="F15" s="276" t="s">
        <v>516</v>
      </c>
      <c r="M15" s="355" t="str">
        <f t="shared" si="0"/>
        <v>-</v>
      </c>
      <c r="N15" s="154" t="str">
        <f t="shared" si="1"/>
        <v>-</v>
      </c>
      <c r="O15" s="153" t="str">
        <f t="shared" si="2"/>
        <v>Dlouhodobý hmotný majetek      (ř. 15 + 18 + 19 + 20 + 24)</v>
      </c>
    </row>
    <row r="16" spans="1:15" x14ac:dyDescent="0.3">
      <c r="A16" s="352">
        <v>15</v>
      </c>
      <c r="B16" s="157" t="s">
        <v>925</v>
      </c>
      <c r="C16" s="157" t="s">
        <v>926</v>
      </c>
      <c r="D16" s="157" t="s">
        <v>927</v>
      </c>
      <c r="E16" s="276" t="s">
        <v>351</v>
      </c>
      <c r="F16" s="276" t="s">
        <v>516</v>
      </c>
      <c r="G16" s="354"/>
      <c r="H16" s="353"/>
      <c r="I16" s="353"/>
      <c r="J16" s="353"/>
      <c r="K16" s="353"/>
      <c r="L16" s="353"/>
      <c r="M16" s="355" t="str">
        <f t="shared" si="0"/>
        <v>-</v>
      </c>
      <c r="N16" s="355" t="str">
        <f t="shared" si="1"/>
        <v>-</v>
      </c>
      <c r="O16" s="356" t="str">
        <f t="shared" si="2"/>
        <v>Pozemky a stavby</v>
      </c>
    </row>
    <row r="17" spans="1:15" x14ac:dyDescent="0.3">
      <c r="A17" s="275">
        <v>16</v>
      </c>
      <c r="B17" s="157" t="s">
        <v>8</v>
      </c>
      <c r="C17" s="157" t="s">
        <v>416</v>
      </c>
      <c r="D17" s="157" t="s">
        <v>358</v>
      </c>
      <c r="E17" s="276" t="s">
        <v>351</v>
      </c>
      <c r="F17" s="276" t="s">
        <v>516</v>
      </c>
      <c r="H17" s="157" t="s">
        <v>240</v>
      </c>
      <c r="I17" s="157" t="s">
        <v>251</v>
      </c>
      <c r="J17" s="157" t="s">
        <v>242</v>
      </c>
      <c r="K17" s="157" t="s">
        <v>242</v>
      </c>
      <c r="M17" s="355" t="str">
        <f t="shared" si="0"/>
        <v>B.II. Pozemky a stavby</v>
      </c>
      <c r="N17" s="154" t="str">
        <f t="shared" si="1"/>
        <v>016 Pozemky</v>
      </c>
      <c r="O17" s="153" t="str">
        <f t="shared" si="2"/>
        <v>Pozemky</v>
      </c>
    </row>
    <row r="18" spans="1:15" x14ac:dyDescent="0.3">
      <c r="A18" s="352">
        <v>17</v>
      </c>
      <c r="B18" s="157" t="s">
        <v>4</v>
      </c>
      <c r="C18" s="157" t="s">
        <v>417</v>
      </c>
      <c r="D18" s="157" t="s">
        <v>359</v>
      </c>
      <c r="E18" s="276" t="s">
        <v>351</v>
      </c>
      <c r="F18" s="276" t="s">
        <v>516</v>
      </c>
      <c r="H18" s="157" t="s">
        <v>240</v>
      </c>
      <c r="I18" s="157" t="s">
        <v>251</v>
      </c>
      <c r="J18" s="157" t="s">
        <v>242</v>
      </c>
      <c r="K18" s="157" t="s">
        <v>243</v>
      </c>
      <c r="M18" s="355" t="str">
        <f t="shared" si="0"/>
        <v>B.II. Pozemky a stavby</v>
      </c>
      <c r="N18" s="154" t="str">
        <f t="shared" si="1"/>
        <v>017 Stavby</v>
      </c>
      <c r="O18" s="153" t="str">
        <f t="shared" si="2"/>
        <v>Stavby</v>
      </c>
    </row>
    <row r="19" spans="1:15" x14ac:dyDescent="0.3">
      <c r="A19" s="275">
        <v>18</v>
      </c>
      <c r="B19" s="157" t="s">
        <v>928</v>
      </c>
      <c r="C19" s="157" t="s">
        <v>418</v>
      </c>
      <c r="D19" s="157" t="s">
        <v>360</v>
      </c>
      <c r="E19" s="276" t="s">
        <v>351</v>
      </c>
      <c r="F19" s="276" t="s">
        <v>516</v>
      </c>
      <c r="H19" s="157" t="s">
        <v>240</v>
      </c>
      <c r="I19" s="157" t="s">
        <v>251</v>
      </c>
      <c r="J19" s="157" t="s">
        <v>243</v>
      </c>
      <c r="M19" s="355" t="str">
        <f t="shared" si="0"/>
        <v>B.II. Pozemky a stavby</v>
      </c>
      <c r="N19" s="154" t="str">
        <f t="shared" si="1"/>
        <v>018 Hmotné movité věci a jejich soubory</v>
      </c>
      <c r="O19" s="153" t="str">
        <f t="shared" si="2"/>
        <v>Hmotné movité věci a jejich soubory</v>
      </c>
    </row>
    <row r="20" spans="1:15" x14ac:dyDescent="0.3">
      <c r="A20" s="352">
        <v>19</v>
      </c>
      <c r="B20" s="157" t="s">
        <v>30</v>
      </c>
      <c r="C20" s="157" t="s">
        <v>424</v>
      </c>
      <c r="D20" s="157" t="s">
        <v>366</v>
      </c>
      <c r="E20" s="276" t="s">
        <v>351</v>
      </c>
      <c r="F20" s="276" t="s">
        <v>516</v>
      </c>
      <c r="G20" s="354"/>
      <c r="H20" s="157" t="s">
        <v>240</v>
      </c>
      <c r="I20" s="157" t="s">
        <v>251</v>
      </c>
      <c r="J20" s="157" t="s">
        <v>244</v>
      </c>
      <c r="K20" s="353"/>
      <c r="L20" s="353"/>
      <c r="M20" s="355" t="str">
        <f t="shared" si="0"/>
        <v>B.II. Pozemky a stavby</v>
      </c>
      <c r="N20" s="355" t="str">
        <f t="shared" si="1"/>
        <v>019 Oceňovací rozdíl k nabytému majetku</v>
      </c>
      <c r="O20" s="356" t="str">
        <f t="shared" si="2"/>
        <v>Oceňovací rozdíl k nabytému majetku</v>
      </c>
    </row>
    <row r="21" spans="1:15" x14ac:dyDescent="0.3">
      <c r="A21" s="275">
        <v>20</v>
      </c>
      <c r="B21" s="157" t="s">
        <v>929</v>
      </c>
      <c r="C21" s="157" t="s">
        <v>421</v>
      </c>
      <c r="D21" s="157" t="s">
        <v>363</v>
      </c>
      <c r="E21" s="276" t="s">
        <v>351</v>
      </c>
      <c r="F21" s="276" t="s">
        <v>516</v>
      </c>
      <c r="G21" s="354"/>
      <c r="K21" s="353"/>
      <c r="L21" s="353"/>
      <c r="M21" s="355" t="str">
        <f t="shared" si="0"/>
        <v>-</v>
      </c>
      <c r="N21" s="355" t="str">
        <f t="shared" si="1"/>
        <v>-</v>
      </c>
      <c r="O21" s="356" t="str">
        <f t="shared" si="2"/>
        <v>Ostatní dlouhodobý hmotný majetek</v>
      </c>
    </row>
    <row r="22" spans="1:15" x14ac:dyDescent="0.3">
      <c r="A22" s="352">
        <v>21</v>
      </c>
      <c r="B22" s="157" t="s">
        <v>5</v>
      </c>
      <c r="C22" s="157" t="s">
        <v>419</v>
      </c>
      <c r="D22" s="157" t="s">
        <v>361</v>
      </c>
      <c r="E22" s="276" t="s">
        <v>351</v>
      </c>
      <c r="F22" s="276" t="s">
        <v>516</v>
      </c>
      <c r="H22" s="157" t="s">
        <v>240</v>
      </c>
      <c r="I22" s="157" t="s">
        <v>251</v>
      </c>
      <c r="J22" s="157" t="s">
        <v>245</v>
      </c>
      <c r="K22" s="157" t="s">
        <v>242</v>
      </c>
      <c r="M22" s="355" t="str">
        <f t="shared" si="0"/>
        <v>B.II. Ostatní dlouhodobý hmotný majetek</v>
      </c>
      <c r="N22" s="154" t="str">
        <f t="shared" si="1"/>
        <v>021 Pěstitelské celky trvalých porostů</v>
      </c>
      <c r="O22" s="153" t="str">
        <f t="shared" si="2"/>
        <v>Pěstitelské celky trvalých porostů</v>
      </c>
    </row>
    <row r="23" spans="1:15" x14ac:dyDescent="0.3">
      <c r="A23" s="275">
        <v>22</v>
      </c>
      <c r="B23" s="157" t="s">
        <v>6</v>
      </c>
      <c r="C23" s="157" t="s">
        <v>420</v>
      </c>
      <c r="D23" s="157" t="s">
        <v>362</v>
      </c>
      <c r="E23" s="276" t="s">
        <v>351</v>
      </c>
      <c r="F23" s="276" t="s">
        <v>516</v>
      </c>
      <c r="H23" s="157" t="s">
        <v>240</v>
      </c>
      <c r="I23" s="157" t="s">
        <v>251</v>
      </c>
      <c r="J23" s="157" t="s">
        <v>245</v>
      </c>
      <c r="K23" s="157" t="s">
        <v>243</v>
      </c>
      <c r="M23" s="355" t="str">
        <f t="shared" si="0"/>
        <v>B.II. Ostatní dlouhodobý hmotný majetek</v>
      </c>
      <c r="N23" s="154" t="str">
        <f t="shared" si="1"/>
        <v>022 Dospělá zvířata a jejich skupiny</v>
      </c>
      <c r="O23" s="153" t="str">
        <f t="shared" si="2"/>
        <v>Dospělá zvířata a jejich skupiny</v>
      </c>
    </row>
    <row r="24" spans="1:15" x14ac:dyDescent="0.3">
      <c r="A24" s="352">
        <v>23</v>
      </c>
      <c r="B24" s="157" t="s">
        <v>7</v>
      </c>
      <c r="C24" s="157" t="s">
        <v>1088</v>
      </c>
      <c r="D24" s="157" t="s">
        <v>1089</v>
      </c>
      <c r="E24" s="276" t="s">
        <v>351</v>
      </c>
      <c r="F24" s="276" t="s">
        <v>516</v>
      </c>
      <c r="H24" s="157" t="s">
        <v>240</v>
      </c>
      <c r="I24" s="157" t="s">
        <v>251</v>
      </c>
      <c r="J24" s="157" t="s">
        <v>245</v>
      </c>
      <c r="K24" s="157" t="s">
        <v>244</v>
      </c>
      <c r="M24" s="355" t="str">
        <f t="shared" si="0"/>
        <v>B.II. Ostatní dlouhodobý hmotný majetek</v>
      </c>
      <c r="N24" s="154" t="str">
        <f t="shared" si="1"/>
        <v>023 Jiný dlouhodobý hmotný majetek</v>
      </c>
      <c r="O24" s="153" t="str">
        <f t="shared" si="2"/>
        <v>Jiný dlouhodobý hmotný majetek</v>
      </c>
    </row>
    <row r="25" spans="1:15" x14ac:dyDescent="0.3">
      <c r="A25" s="275">
        <v>24</v>
      </c>
      <c r="B25" s="157" t="s">
        <v>1233</v>
      </c>
      <c r="C25" s="157" t="s">
        <v>1090</v>
      </c>
      <c r="D25" s="157" t="s">
        <v>1091</v>
      </c>
      <c r="E25" s="276" t="s">
        <v>351</v>
      </c>
      <c r="F25" s="276" t="s">
        <v>516</v>
      </c>
      <c r="G25" s="354"/>
      <c r="H25" s="353"/>
      <c r="I25" s="353"/>
      <c r="J25" s="353"/>
      <c r="K25" s="353"/>
      <c r="L25" s="353"/>
      <c r="M25" s="355" t="str">
        <f t="shared" si="0"/>
        <v>-</v>
      </c>
      <c r="N25" s="355" t="str">
        <f t="shared" si="1"/>
        <v>-</v>
      </c>
      <c r="O25" s="356" t="str">
        <f t="shared" si="2"/>
        <v>Poskytnuté zálohy na dlouh. hmotný majetek a nedok. dlouh. hmotný majetek</v>
      </c>
    </row>
    <row r="26" spans="1:15" x14ac:dyDescent="0.3">
      <c r="A26" s="352">
        <v>25</v>
      </c>
      <c r="B26" s="157" t="s">
        <v>1234</v>
      </c>
      <c r="C26" s="157" t="s">
        <v>423</v>
      </c>
      <c r="D26" s="157" t="s">
        <v>365</v>
      </c>
      <c r="E26" s="276" t="s">
        <v>351</v>
      </c>
      <c r="F26" s="276" t="s">
        <v>516</v>
      </c>
      <c r="H26" s="157" t="s">
        <v>240</v>
      </c>
      <c r="I26" s="157" t="s">
        <v>251</v>
      </c>
      <c r="J26" s="157" t="s">
        <v>246</v>
      </c>
      <c r="K26" s="157" t="s">
        <v>242</v>
      </c>
      <c r="M26" s="355" t="str">
        <f t="shared" si="0"/>
        <v>B.II. Poskytnuté zálohy na dlouh. hmotný majetek a nedok. dlouh. hmotný majetek</v>
      </c>
      <c r="N26" s="154" t="str">
        <f t="shared" si="1"/>
        <v>025 Poskytnuté zálohy na dlouh. hmotný majetek</v>
      </c>
      <c r="O26" s="153" t="str">
        <f t="shared" si="2"/>
        <v>Poskytnuté zálohy na dlouh. hmotný majetek</v>
      </c>
    </row>
    <row r="27" spans="1:15" x14ac:dyDescent="0.3">
      <c r="A27" s="275">
        <v>26</v>
      </c>
      <c r="B27" s="157" t="s">
        <v>253</v>
      </c>
      <c r="C27" s="157" t="s">
        <v>422</v>
      </c>
      <c r="D27" s="157" t="s">
        <v>364</v>
      </c>
      <c r="E27" s="276" t="s">
        <v>351</v>
      </c>
      <c r="F27" s="276" t="s">
        <v>516</v>
      </c>
      <c r="H27" s="157" t="s">
        <v>240</v>
      </c>
      <c r="I27" s="157" t="s">
        <v>251</v>
      </c>
      <c r="J27" s="157" t="s">
        <v>246</v>
      </c>
      <c r="K27" s="157" t="s">
        <v>243</v>
      </c>
      <c r="M27" s="355" t="str">
        <f t="shared" si="0"/>
        <v>B.II. Poskytnuté zálohy na dlouh. hmotný majetek a nedok. dlouh. hmotný majetek</v>
      </c>
      <c r="N27" s="154" t="str">
        <f t="shared" si="1"/>
        <v>026 Nedokončený dlouhodobý hmotný majetek</v>
      </c>
      <c r="O27" s="153" t="str">
        <f t="shared" si="2"/>
        <v>Nedokončený dlouhodobý hmotný majetek</v>
      </c>
    </row>
    <row r="28" spans="1:15" x14ac:dyDescent="0.3">
      <c r="A28" s="352">
        <v>27</v>
      </c>
      <c r="B28" s="157" t="s">
        <v>1092</v>
      </c>
      <c r="C28" s="157" t="s">
        <v>1093</v>
      </c>
      <c r="D28" s="157" t="s">
        <v>1094</v>
      </c>
      <c r="E28" s="276" t="s">
        <v>351</v>
      </c>
      <c r="F28" s="276" t="s">
        <v>516</v>
      </c>
      <c r="M28" s="355" t="str">
        <f>IF(AND(H28=0,I28=0,J28=0),"-",IF(A28=2,CONCATENATE(H28,I28," ",B28),IF(ISBLANK(#REF!),CONCATENATE(H28,I28," ",#REF!),#REF!)))</f>
        <v>-</v>
      </c>
      <c r="N28" s="154" t="str">
        <f t="shared" si="1"/>
        <v>-</v>
      </c>
      <c r="O28" s="153" t="str">
        <f t="shared" si="2"/>
        <v>Dlouhodobý finanční majetek      (ř. 28 až 34)</v>
      </c>
    </row>
    <row r="29" spans="1:15" x14ac:dyDescent="0.3">
      <c r="A29" s="275">
        <v>28</v>
      </c>
      <c r="B29" s="157" t="s">
        <v>930</v>
      </c>
      <c r="C29" s="157" t="s">
        <v>425</v>
      </c>
      <c r="D29" s="157" t="s">
        <v>367</v>
      </c>
      <c r="E29" s="276" t="s">
        <v>351</v>
      </c>
      <c r="F29" s="276" t="s">
        <v>516</v>
      </c>
      <c r="H29" s="157" t="s">
        <v>240</v>
      </c>
      <c r="I29" s="157" t="s">
        <v>256</v>
      </c>
      <c r="J29" s="157" t="s">
        <v>242</v>
      </c>
      <c r="M29" s="355" t="str">
        <f>IF(AND(H29=0,I29=0,J29=0),"-",IF(A29=2,CONCATENATE(H29,I29," ",B29),IF(ISBLANK(H28),CONCATENATE(H29,I29," ",B28),M28)))</f>
        <v>B.III. Dlouhodobý finanční majetek      (ř. 28 až 34)</v>
      </c>
      <c r="N29" s="154" t="str">
        <f t="shared" si="1"/>
        <v>028 Podíly - ovládaná nebo ovládající osoba</v>
      </c>
      <c r="O29" s="153" t="str">
        <f t="shared" si="2"/>
        <v>Podíly - ovládaná nebo ovládající osoba</v>
      </c>
    </row>
    <row r="30" spans="1:15" x14ac:dyDescent="0.3">
      <c r="A30" s="352">
        <v>29</v>
      </c>
      <c r="B30" s="157" t="s">
        <v>932</v>
      </c>
      <c r="C30" s="157" t="s">
        <v>933</v>
      </c>
      <c r="D30" s="157" t="s">
        <v>935</v>
      </c>
      <c r="E30" s="276" t="s">
        <v>351</v>
      </c>
      <c r="F30" s="276" t="s">
        <v>516</v>
      </c>
      <c r="H30" s="157" t="s">
        <v>240</v>
      </c>
      <c r="I30" s="157" t="s">
        <v>256</v>
      </c>
      <c r="J30" s="157" t="s">
        <v>245</v>
      </c>
      <c r="M30" s="355" t="str">
        <f>IF(AND(H30=0,I30=0,J30=0),"-",IF(A30=2,CONCATENATE(H30,I30," ",B30),IF(ISBLANK(H33),CONCATENATE(H30,I30," ",B33),M33)))</f>
        <v>B.III. Dlouhodobý finanční majetek      (ř. 28 až 34)</v>
      </c>
      <c r="N30" s="154" t="str">
        <f t="shared" si="1"/>
        <v>029 Zápůjčky a úvěry - ovládaná nebo ovládající osoba</v>
      </c>
      <c r="O30" s="153" t="str">
        <f t="shared" si="2"/>
        <v>Zápůjčky a úvěry - ovládaná nebo ovládající osoba</v>
      </c>
    </row>
    <row r="31" spans="1:15" x14ac:dyDescent="0.3">
      <c r="A31" s="275">
        <v>30</v>
      </c>
      <c r="B31" s="157" t="s">
        <v>931</v>
      </c>
      <c r="C31" s="157" t="s">
        <v>426</v>
      </c>
      <c r="D31" s="157" t="s">
        <v>368</v>
      </c>
      <c r="E31" s="276" t="s">
        <v>351</v>
      </c>
      <c r="F31" s="276" t="s">
        <v>516</v>
      </c>
      <c r="H31" s="157" t="s">
        <v>240</v>
      </c>
      <c r="I31" s="157" t="s">
        <v>256</v>
      </c>
      <c r="J31" s="157" t="s">
        <v>243</v>
      </c>
      <c r="M31" s="355" t="str">
        <f>IF(AND(H31=0,I31=0,J31=0),"-",IF(A31=2,CONCATENATE(H31,I31," ",B31),IF(ISBLANK(H29),CONCATENATE(H31,I31," ",B29),M29)))</f>
        <v>B.III. Dlouhodobý finanční majetek      (ř. 28 až 34)</v>
      </c>
      <c r="N31" s="154" t="str">
        <f t="shared" si="1"/>
        <v>030 Podíly - podstatný vliv</v>
      </c>
      <c r="O31" s="153" t="str">
        <f t="shared" si="2"/>
        <v>Podíly - podstatný vliv</v>
      </c>
    </row>
    <row r="32" spans="1:15" x14ac:dyDescent="0.3">
      <c r="A32" s="352">
        <v>31</v>
      </c>
      <c r="B32" s="157" t="s">
        <v>968</v>
      </c>
      <c r="C32" s="157" t="s">
        <v>934</v>
      </c>
      <c r="D32" s="157" t="s">
        <v>936</v>
      </c>
      <c r="E32" s="276" t="s">
        <v>351</v>
      </c>
      <c r="F32" s="276" t="s">
        <v>516</v>
      </c>
      <c r="H32" s="157" t="s">
        <v>240</v>
      </c>
      <c r="I32" s="157" t="s">
        <v>256</v>
      </c>
      <c r="J32" s="157" t="s">
        <v>245</v>
      </c>
      <c r="M32" s="355" t="str">
        <f>IF(AND(H32=0,I32=0,J32=0),"-",IF(A32=2,CONCATENATE(H32,I32," ",B32),IF(ISBLANK(H36),CONCATENATE(H32,I32," ",B36),M36)))</f>
        <v>B.III. Dlouhodobý finanční majetek      (ř. 28 až 34)</v>
      </c>
      <c r="N32" s="154" t="str">
        <f t="shared" si="1"/>
        <v>031 Zápůjčky a úvěry - podstatný vliv</v>
      </c>
      <c r="O32" s="153" t="str">
        <f t="shared" si="2"/>
        <v>Zápůjčky a úvěry - podstatný vliv</v>
      </c>
    </row>
    <row r="33" spans="1:15" x14ac:dyDescent="0.3">
      <c r="A33" s="275">
        <v>32</v>
      </c>
      <c r="B33" s="157" t="s">
        <v>261</v>
      </c>
      <c r="C33" s="157" t="s">
        <v>427</v>
      </c>
      <c r="D33" s="157" t="s">
        <v>369</v>
      </c>
      <c r="E33" s="276" t="s">
        <v>351</v>
      </c>
      <c r="F33" s="276" t="s">
        <v>516</v>
      </c>
      <c r="H33" s="157" t="s">
        <v>240</v>
      </c>
      <c r="I33" s="157" t="s">
        <v>256</v>
      </c>
      <c r="J33" s="157" t="s">
        <v>246</v>
      </c>
      <c r="M33" s="355" t="str">
        <f>IF(AND(H33=0,I33=0,J33=0),"-",IF(A33=2,CONCATENATE(H33,I33," ",B33),IF(ISBLANK(H31),CONCATENATE(H33,I33," ",B31),M31)))</f>
        <v>B.III. Dlouhodobý finanční majetek      (ř. 28 až 34)</v>
      </c>
      <c r="N33" s="154" t="str">
        <f t="shared" si="1"/>
        <v>032 Ostatní dlouhodobé cenné papíry a podíly</v>
      </c>
      <c r="O33" s="153" t="str">
        <f t="shared" si="2"/>
        <v>Ostatní dlouhodobé cenné papíry a podíly</v>
      </c>
    </row>
    <row r="34" spans="1:15" x14ac:dyDescent="0.3">
      <c r="A34" s="352">
        <v>33</v>
      </c>
      <c r="B34" s="157" t="s">
        <v>937</v>
      </c>
      <c r="C34" s="157" t="s">
        <v>938</v>
      </c>
      <c r="D34" s="157" t="s">
        <v>1095</v>
      </c>
      <c r="E34" s="276" t="s">
        <v>351</v>
      </c>
      <c r="F34" s="276" t="s">
        <v>516</v>
      </c>
      <c r="G34" s="354"/>
      <c r="H34" s="157" t="s">
        <v>240</v>
      </c>
      <c r="I34" s="157" t="s">
        <v>256</v>
      </c>
      <c r="J34" s="157" t="s">
        <v>247</v>
      </c>
      <c r="K34" s="353"/>
      <c r="L34" s="353"/>
      <c r="M34" s="355" t="str">
        <f>IF(AND(H34=0,I34=0,J34=0),"-",IF(A34=2,CONCATENATE(H34,I34," ",B34),IF(ISBLANK(H33),CONCATENATE(H34,I34," ",B33),M33)))</f>
        <v>B.III. Dlouhodobý finanční majetek      (ř. 28 až 34)</v>
      </c>
      <c r="N34" s="355" t="str">
        <f t="shared" ref="N34:N65" si="3">IF(ISBLANK(H34),"-",CONCATENATE(TEXT(A34,"000")," ",B34))</f>
        <v>033 Zápůjčky a úvěry - ostatní</v>
      </c>
      <c r="O34" s="356" t="str">
        <f t="shared" ref="O34:O65" si="4">IF(jazyk="česky",B34,IF(jazyk="anglicky",C34,IF(jazyk="německy",D34,"-")))</f>
        <v>Zápůjčky a úvěry - ostatní</v>
      </c>
    </row>
    <row r="35" spans="1:15" x14ac:dyDescent="0.3">
      <c r="A35" s="275">
        <v>34</v>
      </c>
      <c r="B35" s="157" t="s">
        <v>939</v>
      </c>
      <c r="C35" s="157" t="s">
        <v>1096</v>
      </c>
      <c r="D35" s="157" t="s">
        <v>1097</v>
      </c>
      <c r="E35" s="276" t="s">
        <v>351</v>
      </c>
      <c r="F35" s="276" t="s">
        <v>516</v>
      </c>
      <c r="H35" s="157" t="s">
        <v>240</v>
      </c>
      <c r="I35" s="157" t="s">
        <v>256</v>
      </c>
      <c r="M35" s="355" t="str">
        <f>IF(AND(H35=0,I35=0,J35=0),"-",IF(A35=2,CONCATENATE(H35,I35," ",B35),IF(ISBLANK(H30),CONCATENATE(H35,I35," ",B30),M30)))</f>
        <v>B.III. Dlouhodobý finanční majetek      (ř. 28 až 34)</v>
      </c>
      <c r="N35" s="154" t="str">
        <f t="shared" si="3"/>
        <v>034 Ostatní dlouhodobý finanční majetek</v>
      </c>
      <c r="O35" s="153" t="str">
        <f t="shared" si="4"/>
        <v>Ostatní dlouhodobý finanční majetek</v>
      </c>
    </row>
    <row r="36" spans="1:15" x14ac:dyDescent="0.3">
      <c r="A36" s="352">
        <v>35</v>
      </c>
      <c r="B36" s="157" t="s">
        <v>16</v>
      </c>
      <c r="C36" s="157" t="s">
        <v>1098</v>
      </c>
      <c r="D36" s="157" t="s">
        <v>1099</v>
      </c>
      <c r="E36" s="276" t="s">
        <v>351</v>
      </c>
      <c r="F36" s="276" t="s">
        <v>516</v>
      </c>
      <c r="H36" s="157" t="s">
        <v>240</v>
      </c>
      <c r="I36" s="157" t="s">
        <v>256</v>
      </c>
      <c r="J36" s="157" t="s">
        <v>248</v>
      </c>
      <c r="K36" s="157" t="s">
        <v>242</v>
      </c>
      <c r="M36" s="355" t="str">
        <f t="shared" ref="M36:M53" si="5">IF(AND(H36=0,I36=0,J36=0),"-",IF(A36=2,CONCATENATE(H36,I36," ",B36),IF(ISBLANK(H35),CONCATENATE(H36,I36," ",B35),M35)))</f>
        <v>B.III. Dlouhodobý finanční majetek      (ř. 28 až 34)</v>
      </c>
      <c r="N36" s="154" t="str">
        <f t="shared" si="3"/>
        <v>035 Jiný dlouhodobý finanční majetek</v>
      </c>
      <c r="O36" s="153" t="str">
        <f t="shared" si="4"/>
        <v>Jiný dlouhodobý finanční majetek</v>
      </c>
    </row>
    <row r="37" spans="1:15" x14ac:dyDescent="0.3">
      <c r="A37" s="275">
        <v>36</v>
      </c>
      <c r="B37" s="157" t="s">
        <v>13</v>
      </c>
      <c r="C37" s="157" t="s">
        <v>428</v>
      </c>
      <c r="D37" s="157" t="s">
        <v>370</v>
      </c>
      <c r="E37" s="276" t="s">
        <v>351</v>
      </c>
      <c r="F37" s="276" t="s">
        <v>516</v>
      </c>
      <c r="H37" s="157" t="s">
        <v>240</v>
      </c>
      <c r="I37" s="157" t="s">
        <v>256</v>
      </c>
      <c r="J37" s="157" t="s">
        <v>248</v>
      </c>
      <c r="K37" s="157" t="s">
        <v>243</v>
      </c>
      <c r="M37" s="355" t="str">
        <f t="shared" si="5"/>
        <v>B.III. Dlouhodobý finanční majetek      (ř. 28 až 34)</v>
      </c>
      <c r="N37" s="154" t="str">
        <f t="shared" si="3"/>
        <v>036 Poskytnuté zálohy na dlouhodobý finanční majetek</v>
      </c>
      <c r="O37" s="153" t="str">
        <f t="shared" si="4"/>
        <v>Poskytnuté zálohy na dlouhodobý finanční majetek</v>
      </c>
    </row>
    <row r="38" spans="1:15" x14ac:dyDescent="0.3">
      <c r="A38" s="352">
        <v>37</v>
      </c>
      <c r="B38" s="157" t="s">
        <v>1100</v>
      </c>
      <c r="C38" s="157" t="s">
        <v>1101</v>
      </c>
      <c r="D38" s="157" t="s">
        <v>1102</v>
      </c>
      <c r="E38" s="276" t="s">
        <v>351</v>
      </c>
      <c r="F38" s="276" t="s">
        <v>516</v>
      </c>
      <c r="M38" s="355" t="str">
        <f t="shared" si="5"/>
        <v>-</v>
      </c>
      <c r="N38" s="154" t="str">
        <f t="shared" si="3"/>
        <v>-</v>
      </c>
      <c r="O38" s="153" t="str">
        <f t="shared" si="4"/>
        <v>Oběžná aktiva      (ř. 38 + 46 + 68 + 71)</v>
      </c>
    </row>
    <row r="39" spans="1:15" x14ac:dyDescent="0.3">
      <c r="A39" s="275">
        <v>38</v>
      </c>
      <c r="B39" s="157" t="s">
        <v>1103</v>
      </c>
      <c r="C39" s="157" t="s">
        <v>1104</v>
      </c>
      <c r="D39" s="157" t="s">
        <v>1105</v>
      </c>
      <c r="E39" s="276" t="s">
        <v>351</v>
      </c>
      <c r="F39" s="276" t="s">
        <v>516</v>
      </c>
      <c r="M39" s="355" t="str">
        <f t="shared" si="5"/>
        <v>-</v>
      </c>
      <c r="N39" s="154" t="str">
        <f t="shared" si="3"/>
        <v>-</v>
      </c>
      <c r="O39" s="153" t="str">
        <f t="shared" si="4"/>
        <v>Zásoby      (ř. 39 + 40 + 41 + 44 + 45)</v>
      </c>
    </row>
    <row r="40" spans="1:15" x14ac:dyDescent="0.3">
      <c r="A40" s="352">
        <v>39</v>
      </c>
      <c r="B40" s="157" t="s">
        <v>225</v>
      </c>
      <c r="C40" s="157" t="s">
        <v>429</v>
      </c>
      <c r="D40" s="157" t="s">
        <v>371</v>
      </c>
      <c r="E40" s="276" t="s">
        <v>351</v>
      </c>
      <c r="F40" s="276" t="s">
        <v>516</v>
      </c>
      <c r="H40" s="157" t="s">
        <v>265</v>
      </c>
      <c r="I40" s="157" t="s">
        <v>241</v>
      </c>
      <c r="J40" s="157" t="s">
        <v>242</v>
      </c>
      <c r="M40" s="355" t="str">
        <f t="shared" si="5"/>
        <v>C.I. Zásoby      (ř. 39 + 40 + 41 + 44 + 45)</v>
      </c>
      <c r="N40" s="154" t="str">
        <f t="shared" si="3"/>
        <v>039 Materiál</v>
      </c>
      <c r="O40" s="153" t="str">
        <f t="shared" si="4"/>
        <v>Materiál</v>
      </c>
    </row>
    <row r="41" spans="1:15" x14ac:dyDescent="0.3">
      <c r="A41" s="275">
        <v>40</v>
      </c>
      <c r="B41" s="157" t="s">
        <v>266</v>
      </c>
      <c r="C41" s="157" t="s">
        <v>430</v>
      </c>
      <c r="D41" s="157" t="s">
        <v>372</v>
      </c>
      <c r="E41" s="276" t="s">
        <v>351</v>
      </c>
      <c r="F41" s="276" t="s">
        <v>516</v>
      </c>
      <c r="H41" s="157" t="s">
        <v>265</v>
      </c>
      <c r="I41" s="157" t="s">
        <v>241</v>
      </c>
      <c r="J41" s="157" t="s">
        <v>243</v>
      </c>
      <c r="M41" s="355" t="str">
        <f t="shared" si="5"/>
        <v>C.I. Zásoby      (ř. 39 + 40 + 41 + 44 + 45)</v>
      </c>
      <c r="N41" s="154" t="str">
        <f t="shared" si="3"/>
        <v>040 Nedokončená výroba a polotovary</v>
      </c>
      <c r="O41" s="153" t="str">
        <f t="shared" si="4"/>
        <v>Nedokončená výroba a polotovary</v>
      </c>
    </row>
    <row r="42" spans="1:15" x14ac:dyDescent="0.3">
      <c r="A42" s="352">
        <v>41</v>
      </c>
      <c r="B42" s="157" t="s">
        <v>940</v>
      </c>
      <c r="C42" s="157" t="s">
        <v>941</v>
      </c>
      <c r="D42" s="157" t="s">
        <v>942</v>
      </c>
      <c r="E42" s="276" t="s">
        <v>351</v>
      </c>
      <c r="F42" s="276" t="s">
        <v>516</v>
      </c>
      <c r="M42" s="355" t="str">
        <f t="shared" si="5"/>
        <v>-</v>
      </c>
      <c r="N42" s="154" t="str">
        <f t="shared" si="3"/>
        <v>-</v>
      </c>
      <c r="O42" s="153" t="str">
        <f t="shared" si="4"/>
        <v>Výrobky a zboží</v>
      </c>
    </row>
    <row r="43" spans="1:15" x14ac:dyDescent="0.3">
      <c r="A43" s="275">
        <v>42</v>
      </c>
      <c r="B43" s="157" t="s">
        <v>37</v>
      </c>
      <c r="C43" s="157" t="s">
        <v>943</v>
      </c>
      <c r="D43" s="157" t="s">
        <v>1106</v>
      </c>
      <c r="E43" s="276" t="s">
        <v>351</v>
      </c>
      <c r="F43" s="276" t="s">
        <v>516</v>
      </c>
      <c r="G43" s="354"/>
      <c r="H43" s="157" t="s">
        <v>265</v>
      </c>
      <c r="I43" s="157" t="s">
        <v>241</v>
      </c>
      <c r="J43" s="157" t="s">
        <v>244</v>
      </c>
      <c r="K43" s="353" t="s">
        <v>242</v>
      </c>
      <c r="L43" s="353"/>
      <c r="M43" s="355" t="str">
        <f t="shared" si="5"/>
        <v>C.I. Výrobky a zboží</v>
      </c>
      <c r="N43" s="355" t="str">
        <f t="shared" si="3"/>
        <v>042 Výrobky</v>
      </c>
      <c r="O43" s="356" t="str">
        <f t="shared" si="4"/>
        <v>Výrobky</v>
      </c>
    </row>
    <row r="44" spans="1:15" x14ac:dyDescent="0.3">
      <c r="A44" s="352">
        <v>43</v>
      </c>
      <c r="B44" s="157" t="s">
        <v>226</v>
      </c>
      <c r="C44" s="157" t="s">
        <v>432</v>
      </c>
      <c r="D44" s="157" t="s">
        <v>374</v>
      </c>
      <c r="E44" s="276" t="s">
        <v>351</v>
      </c>
      <c r="F44" s="276" t="s">
        <v>516</v>
      </c>
      <c r="G44" s="354"/>
      <c r="H44" s="157" t="s">
        <v>265</v>
      </c>
      <c r="I44" s="157" t="s">
        <v>241</v>
      </c>
      <c r="J44" s="157" t="s">
        <v>244</v>
      </c>
      <c r="K44" s="353" t="s">
        <v>243</v>
      </c>
      <c r="L44" s="353"/>
      <c r="M44" s="355" t="str">
        <f t="shared" si="5"/>
        <v>C.I. Výrobky a zboží</v>
      </c>
      <c r="N44" s="355" t="str">
        <f t="shared" si="3"/>
        <v>043 Zboží</v>
      </c>
      <c r="O44" s="356" t="str">
        <f t="shared" si="4"/>
        <v>Zboží</v>
      </c>
    </row>
    <row r="45" spans="1:15" x14ac:dyDescent="0.3">
      <c r="A45" s="275">
        <v>44</v>
      </c>
      <c r="B45" s="157" t="s">
        <v>38</v>
      </c>
      <c r="C45" s="157" t="s">
        <v>431</v>
      </c>
      <c r="D45" s="157" t="s">
        <v>373</v>
      </c>
      <c r="E45" s="276" t="s">
        <v>351</v>
      </c>
      <c r="F45" s="276" t="s">
        <v>516</v>
      </c>
      <c r="H45" s="157" t="s">
        <v>265</v>
      </c>
      <c r="I45" s="157" t="s">
        <v>241</v>
      </c>
      <c r="J45" s="157" t="s">
        <v>245</v>
      </c>
      <c r="M45" s="355" t="str">
        <f t="shared" si="5"/>
        <v>C.I. Výrobky a zboží</v>
      </c>
      <c r="N45" s="154" t="str">
        <f t="shared" si="3"/>
        <v>044 Mladá a ostatní zvířata a jejich skupiny</v>
      </c>
      <c r="O45" s="153" t="str">
        <f t="shared" si="4"/>
        <v>Mladá a ostatní zvířata a jejich skupiny</v>
      </c>
    </row>
    <row r="46" spans="1:15" x14ac:dyDescent="0.3">
      <c r="A46" s="352">
        <v>45</v>
      </c>
      <c r="B46" s="157" t="s">
        <v>230</v>
      </c>
      <c r="C46" s="157" t="s">
        <v>433</v>
      </c>
      <c r="D46" s="157" t="s">
        <v>375</v>
      </c>
      <c r="E46" s="276" t="s">
        <v>351</v>
      </c>
      <c r="F46" s="276" t="s">
        <v>516</v>
      </c>
      <c r="H46" s="157" t="s">
        <v>265</v>
      </c>
      <c r="I46" s="157" t="s">
        <v>241</v>
      </c>
      <c r="J46" s="157" t="s">
        <v>247</v>
      </c>
      <c r="M46" s="355" t="str">
        <f t="shared" si="5"/>
        <v>C.I. Výrobky a zboží</v>
      </c>
      <c r="N46" s="154" t="str">
        <f t="shared" si="3"/>
        <v>045 Poskytnuté zálohy na zásoby</v>
      </c>
      <c r="O46" s="153" t="str">
        <f t="shared" si="4"/>
        <v>Poskytnuté zálohy na zásoby</v>
      </c>
    </row>
    <row r="47" spans="1:15" x14ac:dyDescent="0.3">
      <c r="A47" s="275">
        <v>46</v>
      </c>
      <c r="B47" s="157" t="s">
        <v>1107</v>
      </c>
      <c r="C47" s="157" t="s">
        <v>1108</v>
      </c>
      <c r="D47" s="157" t="s">
        <v>1109</v>
      </c>
      <c r="E47" s="276" t="s">
        <v>351</v>
      </c>
      <c r="F47" s="276" t="s">
        <v>516</v>
      </c>
      <c r="G47" s="354"/>
      <c r="H47" s="353"/>
      <c r="I47" s="353"/>
      <c r="J47" s="353"/>
      <c r="K47" s="353"/>
      <c r="L47" s="353"/>
      <c r="M47" s="355" t="str">
        <f t="shared" si="5"/>
        <v>-</v>
      </c>
      <c r="N47" s="355" t="str">
        <f t="shared" si="3"/>
        <v>-</v>
      </c>
      <c r="O47" s="356" t="str">
        <f t="shared" si="4"/>
        <v>Pohledávky      (ř. 47 + 57)</v>
      </c>
    </row>
    <row r="48" spans="1:15" x14ac:dyDescent="0.3">
      <c r="A48" s="352">
        <v>47</v>
      </c>
      <c r="B48" s="157" t="s">
        <v>950</v>
      </c>
      <c r="C48" s="157" t="s">
        <v>1110</v>
      </c>
      <c r="D48" s="157" t="s">
        <v>1111</v>
      </c>
      <c r="E48" s="276" t="s">
        <v>351</v>
      </c>
      <c r="F48" s="276" t="s">
        <v>516</v>
      </c>
      <c r="M48" s="355" t="str">
        <f t="shared" si="5"/>
        <v>-</v>
      </c>
      <c r="N48" s="154" t="str">
        <f t="shared" si="3"/>
        <v>-</v>
      </c>
      <c r="O48" s="153" t="str">
        <f t="shared" si="4"/>
        <v>Dlouhodobé pohledávky</v>
      </c>
    </row>
    <row r="49" spans="1:15" x14ac:dyDescent="0.3">
      <c r="A49" s="275">
        <v>48</v>
      </c>
      <c r="B49" s="157" t="s">
        <v>69</v>
      </c>
      <c r="C49" s="157" t="s">
        <v>434</v>
      </c>
      <c r="D49" s="157" t="s">
        <v>376</v>
      </c>
      <c r="E49" s="276" t="s">
        <v>351</v>
      </c>
      <c r="F49" s="276" t="s">
        <v>516</v>
      </c>
      <c r="H49" s="157" t="s">
        <v>265</v>
      </c>
      <c r="I49" s="157" t="s">
        <v>251</v>
      </c>
      <c r="J49" s="157" t="s">
        <v>242</v>
      </c>
      <c r="K49" s="157" t="s">
        <v>242</v>
      </c>
      <c r="M49" s="355" t="str">
        <f t="shared" si="5"/>
        <v>C.II. Dlouhodobé pohledávky</v>
      </c>
      <c r="N49" s="154" t="str">
        <f t="shared" si="3"/>
        <v>048 Pohledávky z obchodních vztahů</v>
      </c>
      <c r="O49" s="153" t="str">
        <f t="shared" si="4"/>
        <v>Pohledávky z obchodních vztahů</v>
      </c>
    </row>
    <row r="50" spans="1:15" x14ac:dyDescent="0.3">
      <c r="A50" s="352">
        <v>49</v>
      </c>
      <c r="B50" s="157" t="s">
        <v>267</v>
      </c>
      <c r="C50" s="157" t="s">
        <v>435</v>
      </c>
      <c r="D50" s="157" t="s">
        <v>377</v>
      </c>
      <c r="E50" s="276" t="s">
        <v>351</v>
      </c>
      <c r="F50" s="276" t="s">
        <v>516</v>
      </c>
      <c r="H50" s="157" t="s">
        <v>265</v>
      </c>
      <c r="I50" s="157" t="s">
        <v>251</v>
      </c>
      <c r="J50" s="157" t="s">
        <v>242</v>
      </c>
      <c r="K50" s="157" t="s">
        <v>243</v>
      </c>
      <c r="M50" s="355" t="str">
        <f t="shared" si="5"/>
        <v>C.II. Dlouhodobé pohledávky</v>
      </c>
      <c r="N50" s="154" t="str">
        <f t="shared" si="3"/>
        <v>049 Pohledávky - ovládaná nebo ovládající osoba</v>
      </c>
      <c r="O50" s="153" t="str">
        <f t="shared" si="4"/>
        <v>Pohledávky - ovládaná nebo ovládající osoba</v>
      </c>
    </row>
    <row r="51" spans="1:15" x14ac:dyDescent="0.3">
      <c r="A51" s="275">
        <v>50</v>
      </c>
      <c r="B51" s="157" t="s">
        <v>89</v>
      </c>
      <c r="C51" s="157" t="s">
        <v>436</v>
      </c>
      <c r="D51" s="157" t="s">
        <v>378</v>
      </c>
      <c r="E51" s="276" t="s">
        <v>351</v>
      </c>
      <c r="F51" s="276" t="s">
        <v>516</v>
      </c>
      <c r="H51" s="157" t="s">
        <v>265</v>
      </c>
      <c r="I51" s="157" t="s">
        <v>251</v>
      </c>
      <c r="J51" s="157" t="s">
        <v>242</v>
      </c>
      <c r="K51" s="157" t="s">
        <v>244</v>
      </c>
      <c r="M51" s="355" t="str">
        <f t="shared" si="5"/>
        <v>C.II. Dlouhodobé pohledávky</v>
      </c>
      <c r="N51" s="154" t="str">
        <f t="shared" si="3"/>
        <v>050 Pohledávky - podstatný vliv</v>
      </c>
      <c r="O51" s="153" t="str">
        <f t="shared" si="4"/>
        <v>Pohledávky - podstatný vliv</v>
      </c>
    </row>
    <row r="52" spans="1:15" x14ac:dyDescent="0.3">
      <c r="A52" s="352">
        <v>51</v>
      </c>
      <c r="B52" s="157" t="s">
        <v>269</v>
      </c>
      <c r="C52" s="157" t="s">
        <v>439</v>
      </c>
      <c r="D52" s="157" t="s">
        <v>381</v>
      </c>
      <c r="E52" s="276" t="s">
        <v>351</v>
      </c>
      <c r="F52" s="276" t="s">
        <v>516</v>
      </c>
      <c r="H52" s="157" t="s">
        <v>265</v>
      </c>
      <c r="I52" s="157" t="s">
        <v>251</v>
      </c>
      <c r="J52" s="157" t="s">
        <v>242</v>
      </c>
      <c r="K52" s="157" t="s">
        <v>245</v>
      </c>
      <c r="M52" s="355" t="str">
        <f t="shared" si="5"/>
        <v>C.II. Dlouhodobé pohledávky</v>
      </c>
      <c r="N52" s="154" t="str">
        <f t="shared" si="3"/>
        <v>051 Odložená daňová pohledávka</v>
      </c>
      <c r="O52" s="153" t="str">
        <f t="shared" si="4"/>
        <v>Odložená daňová pohledávka</v>
      </c>
    </row>
    <row r="53" spans="1:15" x14ac:dyDescent="0.3">
      <c r="A53" s="275">
        <v>52</v>
      </c>
      <c r="B53" s="157" t="s">
        <v>945</v>
      </c>
      <c r="C53" s="157" t="s">
        <v>1112</v>
      </c>
      <c r="D53" s="157" t="s">
        <v>1113</v>
      </c>
      <c r="E53" s="276" t="s">
        <v>351</v>
      </c>
      <c r="F53" s="276" t="s">
        <v>516</v>
      </c>
      <c r="G53" s="354"/>
      <c r="H53" s="353"/>
      <c r="I53" s="353"/>
      <c r="J53" s="353"/>
      <c r="K53" s="353"/>
      <c r="L53" s="353"/>
      <c r="M53" s="355" t="str">
        <f t="shared" si="5"/>
        <v>-</v>
      </c>
      <c r="N53" s="355" t="str">
        <f t="shared" si="3"/>
        <v>-</v>
      </c>
      <c r="O53" s="356" t="str">
        <f t="shared" si="4"/>
        <v>Pohledávky - ostatní</v>
      </c>
    </row>
    <row r="54" spans="1:15" x14ac:dyDescent="0.3">
      <c r="A54" s="352">
        <v>53</v>
      </c>
      <c r="B54" s="157" t="s">
        <v>623</v>
      </c>
      <c r="C54" s="157" t="s">
        <v>624</v>
      </c>
      <c r="D54" s="157" t="s">
        <v>625</v>
      </c>
      <c r="E54" s="276" t="s">
        <v>351</v>
      </c>
      <c r="F54" s="276" t="s">
        <v>516</v>
      </c>
      <c r="H54" s="157" t="s">
        <v>265</v>
      </c>
      <c r="I54" s="157" t="s">
        <v>251</v>
      </c>
      <c r="J54" s="157" t="s">
        <v>242</v>
      </c>
      <c r="K54" s="157" t="s">
        <v>246</v>
      </c>
      <c r="L54" s="157" t="s">
        <v>242</v>
      </c>
      <c r="M54" s="355" t="str">
        <f>IF(AND(H54=0,I54=0,J54=0),"-",IF(A54=2,CONCATENATE(H54,I54," ",B54),IF(ISBLANK(H52),CONCATENATE(H54,I54," ",B52),M52)))</f>
        <v>C.II. Dlouhodobé pohledávky</v>
      </c>
      <c r="N54" s="154" t="str">
        <f t="shared" si="3"/>
        <v>053 Pohledávky za společníky</v>
      </c>
      <c r="O54" s="153" t="str">
        <f t="shared" si="4"/>
        <v>Pohledávky za společníky</v>
      </c>
    </row>
    <row r="55" spans="1:15" x14ac:dyDescent="0.3">
      <c r="A55" s="275">
        <v>54</v>
      </c>
      <c r="B55" s="157" t="s">
        <v>268</v>
      </c>
      <c r="C55" s="157" t="s">
        <v>437</v>
      </c>
      <c r="D55" s="157" t="s">
        <v>379</v>
      </c>
      <c r="E55" s="276" t="s">
        <v>351</v>
      </c>
      <c r="F55" s="276" t="s">
        <v>516</v>
      </c>
      <c r="H55" s="157" t="s">
        <v>265</v>
      </c>
      <c r="I55" s="157" t="s">
        <v>251</v>
      </c>
      <c r="J55" s="157" t="s">
        <v>242</v>
      </c>
      <c r="K55" s="157" t="s">
        <v>246</v>
      </c>
      <c r="L55" s="157" t="s">
        <v>243</v>
      </c>
      <c r="M55" s="355" t="str">
        <f t="shared" ref="M55:M86" si="6">IF(AND(H55=0,I55=0,J55=0),"-",IF(A55=2,CONCATENATE(H55,I55," ",B55),IF(ISBLANK(H54),CONCATENATE(H55,I55," ",B54),M54)))</f>
        <v>C.II. Dlouhodobé pohledávky</v>
      </c>
      <c r="N55" s="154" t="str">
        <f t="shared" si="3"/>
        <v>054 Dlouhodobé poskytnuté zálohy</v>
      </c>
      <c r="O55" s="153" t="str">
        <f t="shared" si="4"/>
        <v>Dlouhodobé poskytnuté zálohy</v>
      </c>
    </row>
    <row r="56" spans="1:15" x14ac:dyDescent="0.3">
      <c r="A56" s="352">
        <v>55</v>
      </c>
      <c r="B56" s="157" t="s">
        <v>114</v>
      </c>
      <c r="C56" s="157" t="s">
        <v>438</v>
      </c>
      <c r="D56" s="157" t="s">
        <v>380</v>
      </c>
      <c r="E56" s="276" t="s">
        <v>351</v>
      </c>
      <c r="F56" s="276" t="s">
        <v>516</v>
      </c>
      <c r="H56" s="157" t="s">
        <v>265</v>
      </c>
      <c r="I56" s="157" t="s">
        <v>251</v>
      </c>
      <c r="J56" s="157" t="s">
        <v>242</v>
      </c>
      <c r="K56" s="157" t="s">
        <v>246</v>
      </c>
      <c r="L56" s="157" t="s">
        <v>244</v>
      </c>
      <c r="M56" s="355" t="str">
        <f t="shared" si="6"/>
        <v>C.II. Dlouhodobé pohledávky</v>
      </c>
      <c r="N56" s="154" t="str">
        <f t="shared" si="3"/>
        <v>055 Dohadné účty aktivní</v>
      </c>
      <c r="O56" s="153" t="str">
        <f t="shared" si="4"/>
        <v>Dohadné účty aktivní</v>
      </c>
    </row>
    <row r="57" spans="1:15" x14ac:dyDescent="0.3">
      <c r="A57" s="275">
        <v>56</v>
      </c>
      <c r="B57" s="157" t="s">
        <v>107</v>
      </c>
      <c r="C57" s="157" t="s">
        <v>1114</v>
      </c>
      <c r="D57" s="157" t="s">
        <v>1115</v>
      </c>
      <c r="E57" s="276" t="s">
        <v>351</v>
      </c>
      <c r="F57" s="276" t="s">
        <v>516</v>
      </c>
      <c r="H57" s="157" t="s">
        <v>265</v>
      </c>
      <c r="I57" s="157" t="s">
        <v>251</v>
      </c>
      <c r="J57" s="157" t="s">
        <v>242</v>
      </c>
      <c r="K57" s="157" t="s">
        <v>246</v>
      </c>
      <c r="L57" s="157" t="s">
        <v>245</v>
      </c>
      <c r="M57" s="355" t="str">
        <f t="shared" si="6"/>
        <v>C.II. Dlouhodobé pohledávky</v>
      </c>
      <c r="N57" s="154" t="str">
        <f t="shared" si="3"/>
        <v>056 Jiné pohledávky</v>
      </c>
      <c r="O57" s="153" t="str">
        <f t="shared" si="4"/>
        <v>Jiné pohledávky</v>
      </c>
    </row>
    <row r="58" spans="1:15" x14ac:dyDescent="0.3">
      <c r="A58" s="275">
        <v>57</v>
      </c>
      <c r="B58" s="157" t="s">
        <v>951</v>
      </c>
      <c r="C58" s="157" t="s">
        <v>1116</v>
      </c>
      <c r="D58" s="157" t="s">
        <v>1117</v>
      </c>
      <c r="E58" s="276" t="s">
        <v>351</v>
      </c>
      <c r="F58" s="276" t="s">
        <v>516</v>
      </c>
      <c r="M58" s="355" t="str">
        <f t="shared" si="6"/>
        <v>-</v>
      </c>
      <c r="N58" s="154" t="str">
        <f t="shared" si="3"/>
        <v>-</v>
      </c>
      <c r="O58" s="153" t="str">
        <f t="shared" si="4"/>
        <v>Krátkodobé pohledávky</v>
      </c>
    </row>
    <row r="59" spans="1:15" x14ac:dyDescent="0.3">
      <c r="A59" s="275">
        <v>58</v>
      </c>
      <c r="B59" s="157" t="s">
        <v>69</v>
      </c>
      <c r="C59" s="157" t="s">
        <v>434</v>
      </c>
      <c r="D59" s="157" t="s">
        <v>376</v>
      </c>
      <c r="E59" s="276" t="s">
        <v>351</v>
      </c>
      <c r="F59" s="276" t="s">
        <v>516</v>
      </c>
      <c r="H59" s="157" t="s">
        <v>265</v>
      </c>
      <c r="I59" s="157" t="s">
        <v>251</v>
      </c>
      <c r="J59" s="157" t="s">
        <v>243</v>
      </c>
      <c r="K59" s="157" t="s">
        <v>242</v>
      </c>
      <c r="M59" s="355" t="str">
        <f t="shared" si="6"/>
        <v>C.II. Krátkodobé pohledávky</v>
      </c>
      <c r="N59" s="154" t="str">
        <f t="shared" si="3"/>
        <v>058 Pohledávky z obchodních vztahů</v>
      </c>
      <c r="O59" s="153" t="str">
        <f t="shared" si="4"/>
        <v>Pohledávky z obchodních vztahů</v>
      </c>
    </row>
    <row r="60" spans="1:15" x14ac:dyDescent="0.3">
      <c r="A60" s="275">
        <v>59</v>
      </c>
      <c r="B60" s="157" t="s">
        <v>267</v>
      </c>
      <c r="C60" s="157" t="s">
        <v>435</v>
      </c>
      <c r="D60" s="157" t="s">
        <v>377</v>
      </c>
      <c r="E60" s="276" t="s">
        <v>351</v>
      </c>
      <c r="F60" s="276" t="s">
        <v>516</v>
      </c>
      <c r="H60" s="157" t="s">
        <v>265</v>
      </c>
      <c r="I60" s="157" t="s">
        <v>251</v>
      </c>
      <c r="J60" s="157" t="s">
        <v>243</v>
      </c>
      <c r="K60" s="157" t="s">
        <v>243</v>
      </c>
      <c r="M60" s="355" t="str">
        <f t="shared" si="6"/>
        <v>C.II. Krátkodobé pohledávky</v>
      </c>
      <c r="N60" s="154" t="str">
        <f t="shared" si="3"/>
        <v>059 Pohledávky - ovládaná nebo ovládající osoba</v>
      </c>
      <c r="O60" s="153" t="str">
        <f t="shared" si="4"/>
        <v>Pohledávky - ovládaná nebo ovládající osoba</v>
      </c>
    </row>
    <row r="61" spans="1:15" x14ac:dyDescent="0.3">
      <c r="A61" s="275">
        <v>60</v>
      </c>
      <c r="B61" s="157" t="s">
        <v>89</v>
      </c>
      <c r="C61" s="157" t="s">
        <v>436</v>
      </c>
      <c r="D61" s="157" t="s">
        <v>378</v>
      </c>
      <c r="E61" s="276" t="s">
        <v>351</v>
      </c>
      <c r="F61" s="276" t="s">
        <v>516</v>
      </c>
      <c r="H61" s="157" t="s">
        <v>265</v>
      </c>
      <c r="I61" s="157" t="s">
        <v>251</v>
      </c>
      <c r="J61" s="157" t="s">
        <v>243</v>
      </c>
      <c r="K61" s="157" t="s">
        <v>244</v>
      </c>
      <c r="M61" s="355" t="str">
        <f t="shared" si="6"/>
        <v>C.II. Krátkodobé pohledávky</v>
      </c>
      <c r="N61" s="154" t="str">
        <f t="shared" si="3"/>
        <v>060 Pohledávky - podstatný vliv</v>
      </c>
      <c r="O61" s="153" t="str">
        <f t="shared" si="4"/>
        <v>Pohledávky - podstatný vliv</v>
      </c>
    </row>
    <row r="62" spans="1:15" x14ac:dyDescent="0.3">
      <c r="A62" s="275">
        <v>61</v>
      </c>
      <c r="B62" s="157" t="s">
        <v>945</v>
      </c>
      <c r="C62" s="157" t="s">
        <v>1118</v>
      </c>
      <c r="D62" s="157" t="s">
        <v>1113</v>
      </c>
      <c r="E62" s="276" t="s">
        <v>351</v>
      </c>
      <c r="F62" s="276" t="s">
        <v>516</v>
      </c>
      <c r="H62" s="157" t="s">
        <v>265</v>
      </c>
      <c r="I62" s="157" t="s">
        <v>251</v>
      </c>
      <c r="J62" s="157" t="s">
        <v>243</v>
      </c>
      <c r="K62" s="157" t="s">
        <v>245</v>
      </c>
      <c r="M62" s="355" t="str">
        <f t="shared" si="6"/>
        <v>C.II. Krátkodobé pohledávky</v>
      </c>
      <c r="N62" s="154" t="str">
        <f t="shared" si="3"/>
        <v>061 Pohledávky - ostatní</v>
      </c>
      <c r="O62" s="153" t="str">
        <f t="shared" si="4"/>
        <v>Pohledávky - ostatní</v>
      </c>
    </row>
    <row r="63" spans="1:15" x14ac:dyDescent="0.3">
      <c r="A63" s="275">
        <v>62</v>
      </c>
      <c r="B63" s="157" t="s">
        <v>623</v>
      </c>
      <c r="C63" s="157" t="s">
        <v>624</v>
      </c>
      <c r="D63" s="157" t="s">
        <v>625</v>
      </c>
      <c r="E63" s="276" t="s">
        <v>351</v>
      </c>
      <c r="F63" s="276" t="s">
        <v>516</v>
      </c>
      <c r="H63" s="157" t="s">
        <v>265</v>
      </c>
      <c r="I63" s="157" t="s">
        <v>251</v>
      </c>
      <c r="J63" s="157" t="s">
        <v>243</v>
      </c>
      <c r="K63" s="157" t="s">
        <v>245</v>
      </c>
      <c r="L63" s="157" t="s">
        <v>242</v>
      </c>
      <c r="M63" s="355" t="str">
        <f t="shared" si="6"/>
        <v>C.II. Krátkodobé pohledávky</v>
      </c>
      <c r="N63" s="154" t="str">
        <f t="shared" si="3"/>
        <v>062 Pohledávky za společníky</v>
      </c>
      <c r="O63" s="153" t="str">
        <f t="shared" si="4"/>
        <v>Pohledávky za společníky</v>
      </c>
    </row>
    <row r="64" spans="1:15" x14ac:dyDescent="0.3">
      <c r="A64" s="275">
        <v>63</v>
      </c>
      <c r="B64" s="157" t="s">
        <v>270</v>
      </c>
      <c r="C64" s="157" t="s">
        <v>440</v>
      </c>
      <c r="D64" s="157" t="s">
        <v>382</v>
      </c>
      <c r="E64" s="276" t="s">
        <v>351</v>
      </c>
      <c r="F64" s="276" t="s">
        <v>516</v>
      </c>
      <c r="H64" s="157" t="s">
        <v>265</v>
      </c>
      <c r="I64" s="157" t="s">
        <v>251</v>
      </c>
      <c r="J64" s="157" t="s">
        <v>243</v>
      </c>
      <c r="K64" s="157" t="s">
        <v>245</v>
      </c>
      <c r="L64" s="157" t="s">
        <v>243</v>
      </c>
      <c r="M64" s="355" t="str">
        <f t="shared" si="6"/>
        <v>C.II. Krátkodobé pohledávky</v>
      </c>
      <c r="N64" s="154" t="str">
        <f t="shared" si="3"/>
        <v>063 Sociální zabezpečení a zdravotní pojištění</v>
      </c>
      <c r="O64" s="153" t="str">
        <f t="shared" si="4"/>
        <v>Sociální zabezpečení a zdravotní pojištění</v>
      </c>
    </row>
    <row r="65" spans="1:15" x14ac:dyDescent="0.3">
      <c r="A65" s="275">
        <v>64</v>
      </c>
      <c r="B65" s="157" t="s">
        <v>271</v>
      </c>
      <c r="C65" s="157" t="s">
        <v>441</v>
      </c>
      <c r="D65" s="157" t="s">
        <v>383</v>
      </c>
      <c r="E65" s="276" t="s">
        <v>351</v>
      </c>
      <c r="F65" s="276" t="s">
        <v>516</v>
      </c>
      <c r="H65" s="157" t="s">
        <v>265</v>
      </c>
      <c r="I65" s="157" t="s">
        <v>251</v>
      </c>
      <c r="J65" s="157" t="s">
        <v>243</v>
      </c>
      <c r="K65" s="157" t="s">
        <v>245</v>
      </c>
      <c r="L65" s="157" t="s">
        <v>244</v>
      </c>
      <c r="M65" s="355" t="str">
        <f t="shared" si="6"/>
        <v>C.II. Krátkodobé pohledávky</v>
      </c>
      <c r="N65" s="154" t="str">
        <f t="shared" si="3"/>
        <v>064 Stát - daňové pohledávky</v>
      </c>
      <c r="O65" s="153" t="str">
        <f t="shared" si="4"/>
        <v>Stát - daňové pohledávky</v>
      </c>
    </row>
    <row r="66" spans="1:15" x14ac:dyDescent="0.3">
      <c r="A66" s="275">
        <v>65</v>
      </c>
      <c r="B66" s="157" t="s">
        <v>272</v>
      </c>
      <c r="C66" s="157" t="s">
        <v>442</v>
      </c>
      <c r="D66" s="157" t="s">
        <v>384</v>
      </c>
      <c r="E66" s="276" t="s">
        <v>351</v>
      </c>
      <c r="F66" s="276" t="s">
        <v>516</v>
      </c>
      <c r="H66" s="157" t="s">
        <v>265</v>
      </c>
      <c r="I66" s="157" t="s">
        <v>251</v>
      </c>
      <c r="J66" s="157" t="s">
        <v>243</v>
      </c>
      <c r="K66" s="157" t="s">
        <v>245</v>
      </c>
      <c r="L66" s="157" t="s">
        <v>245</v>
      </c>
      <c r="M66" s="355" t="str">
        <f t="shared" si="6"/>
        <v>C.II. Krátkodobé pohledávky</v>
      </c>
      <c r="N66" s="154" t="str">
        <f t="shared" ref="N66:N97" si="7">IF(ISBLANK(H66),"-",CONCATENATE(TEXT(A66,"000")," ",B66))</f>
        <v>065 Krátkodobé poskytnuté zálohy</v>
      </c>
      <c r="O66" s="153" t="str">
        <f t="shared" ref="O66:O97" si="8">IF(jazyk="česky",B66,IF(jazyk="anglicky",C66,IF(jazyk="německy",D66,"-")))</f>
        <v>Krátkodobé poskytnuté zálohy</v>
      </c>
    </row>
    <row r="67" spans="1:15" x14ac:dyDescent="0.3">
      <c r="A67" s="275">
        <v>66</v>
      </c>
      <c r="B67" s="157" t="s">
        <v>114</v>
      </c>
      <c r="C67" s="157" t="s">
        <v>438</v>
      </c>
      <c r="D67" s="157" t="s">
        <v>380</v>
      </c>
      <c r="E67" s="276" t="s">
        <v>351</v>
      </c>
      <c r="F67" s="276" t="s">
        <v>516</v>
      </c>
      <c r="H67" s="157" t="s">
        <v>265</v>
      </c>
      <c r="I67" s="157" t="s">
        <v>251</v>
      </c>
      <c r="J67" s="157" t="s">
        <v>243</v>
      </c>
      <c r="K67" s="157" t="s">
        <v>245</v>
      </c>
      <c r="L67" s="157" t="s">
        <v>246</v>
      </c>
      <c r="M67" s="355" t="str">
        <f t="shared" si="6"/>
        <v>C.II. Krátkodobé pohledávky</v>
      </c>
      <c r="N67" s="154" t="str">
        <f t="shared" si="7"/>
        <v>066 Dohadné účty aktivní</v>
      </c>
      <c r="O67" s="153" t="str">
        <f t="shared" si="8"/>
        <v>Dohadné účty aktivní</v>
      </c>
    </row>
    <row r="68" spans="1:15" x14ac:dyDescent="0.3">
      <c r="A68" s="275">
        <v>67</v>
      </c>
      <c r="B68" s="157" t="s">
        <v>107</v>
      </c>
      <c r="C68" s="157" t="s">
        <v>1114</v>
      </c>
      <c r="D68" s="157" t="s">
        <v>1115</v>
      </c>
      <c r="E68" s="276" t="s">
        <v>351</v>
      </c>
      <c r="F68" s="276" t="s">
        <v>516</v>
      </c>
      <c r="G68" s="354"/>
      <c r="H68" s="157" t="s">
        <v>265</v>
      </c>
      <c r="I68" s="157" t="s">
        <v>251</v>
      </c>
      <c r="J68" s="157" t="s">
        <v>243</v>
      </c>
      <c r="K68" s="157" t="s">
        <v>245</v>
      </c>
      <c r="L68" s="353" t="s">
        <v>247</v>
      </c>
      <c r="M68" s="355" t="str">
        <f t="shared" si="6"/>
        <v>C.II. Krátkodobé pohledávky</v>
      </c>
      <c r="N68" s="355" t="str">
        <f t="shared" si="7"/>
        <v>067 Jiné pohledávky</v>
      </c>
      <c r="O68" s="356" t="str">
        <f t="shared" si="8"/>
        <v>Jiné pohledávky</v>
      </c>
    </row>
    <row r="69" spans="1:15" x14ac:dyDescent="0.3">
      <c r="A69" s="275">
        <v>68</v>
      </c>
      <c r="B69" s="157" t="s">
        <v>1119</v>
      </c>
      <c r="C69" s="157" t="s">
        <v>1120</v>
      </c>
      <c r="D69" s="157" t="s">
        <v>1121</v>
      </c>
      <c r="E69" s="276" t="s">
        <v>351</v>
      </c>
      <c r="F69" s="276" t="s">
        <v>516</v>
      </c>
      <c r="M69" s="355" t="str">
        <f t="shared" si="6"/>
        <v>-</v>
      </c>
      <c r="N69" s="154" t="str">
        <f t="shared" si="7"/>
        <v>-</v>
      </c>
      <c r="O69" s="153" t="str">
        <f t="shared" si="8"/>
        <v>Krátkodobý finanční majetek      (ř. 69 až 70)</v>
      </c>
    </row>
    <row r="70" spans="1:15" x14ac:dyDescent="0.3">
      <c r="A70" s="275">
        <v>69</v>
      </c>
      <c r="B70" s="157" t="s">
        <v>930</v>
      </c>
      <c r="C70" s="157" t="s">
        <v>425</v>
      </c>
      <c r="D70" s="157" t="s">
        <v>367</v>
      </c>
      <c r="E70" s="276" t="s">
        <v>351</v>
      </c>
      <c r="F70" s="276" t="s">
        <v>516</v>
      </c>
      <c r="G70" s="354"/>
      <c r="H70" s="353" t="s">
        <v>265</v>
      </c>
      <c r="I70" s="353" t="s">
        <v>256</v>
      </c>
      <c r="J70" s="353" t="s">
        <v>242</v>
      </c>
      <c r="K70" s="353"/>
      <c r="L70" s="353"/>
      <c r="M70" s="355" t="str">
        <f t="shared" si="6"/>
        <v>C.III. Krátkodobý finanční majetek      (ř. 69 až 70)</v>
      </c>
      <c r="N70" s="355" t="str">
        <f t="shared" si="7"/>
        <v>069 Podíly - ovládaná nebo ovládající osoba</v>
      </c>
      <c r="O70" s="356" t="str">
        <f t="shared" si="8"/>
        <v>Podíly - ovládaná nebo ovládající osoba</v>
      </c>
    </row>
    <row r="71" spans="1:15" x14ac:dyDescent="0.3">
      <c r="A71" s="275">
        <v>70</v>
      </c>
      <c r="B71" s="157" t="s">
        <v>946</v>
      </c>
      <c r="C71" s="157" t="s">
        <v>947</v>
      </c>
      <c r="D71" s="157" t="s">
        <v>1122</v>
      </c>
      <c r="E71" s="276" t="s">
        <v>351</v>
      </c>
      <c r="F71" s="276" t="s">
        <v>516</v>
      </c>
      <c r="G71" s="354"/>
      <c r="H71" s="353" t="s">
        <v>265</v>
      </c>
      <c r="I71" s="353" t="s">
        <v>256</v>
      </c>
      <c r="J71" s="353" t="s">
        <v>243</v>
      </c>
      <c r="K71" s="353"/>
      <c r="L71" s="353"/>
      <c r="M71" s="355" t="str">
        <f t="shared" si="6"/>
        <v>C.III. Krátkodobý finanční majetek      (ř. 69 až 70)</v>
      </c>
      <c r="N71" s="355" t="str">
        <f t="shared" si="7"/>
        <v>070 Ostatní krátkodobý finanční majetek</v>
      </c>
      <c r="O71" s="356" t="str">
        <f t="shared" si="8"/>
        <v>Ostatní krátkodobý finanční majetek</v>
      </c>
    </row>
    <row r="72" spans="1:15" x14ac:dyDescent="0.3">
      <c r="A72" s="275">
        <v>71</v>
      </c>
      <c r="B72" s="157" t="s">
        <v>1123</v>
      </c>
      <c r="C72" s="157" t="s">
        <v>1124</v>
      </c>
      <c r="D72" s="157" t="s">
        <v>1125</v>
      </c>
      <c r="E72" s="276" t="s">
        <v>351</v>
      </c>
      <c r="F72" s="276" t="s">
        <v>516</v>
      </c>
      <c r="G72" s="354"/>
      <c r="H72" s="353"/>
      <c r="I72" s="353"/>
      <c r="J72" s="353"/>
      <c r="K72" s="353"/>
      <c r="L72" s="353"/>
      <c r="M72" s="355" t="str">
        <f t="shared" si="6"/>
        <v>-</v>
      </c>
      <c r="N72" s="355" t="str">
        <f t="shared" si="7"/>
        <v>-</v>
      </c>
      <c r="O72" s="356" t="str">
        <f t="shared" si="8"/>
        <v>Peněžní prostředky      (ř. 72 až 73)</v>
      </c>
    </row>
    <row r="73" spans="1:15" x14ac:dyDescent="0.3">
      <c r="A73" s="275">
        <v>72</v>
      </c>
      <c r="B73" s="157" t="s">
        <v>948</v>
      </c>
      <c r="C73" s="157" t="s">
        <v>443</v>
      </c>
      <c r="D73" s="157" t="s">
        <v>1126</v>
      </c>
      <c r="E73" s="276" t="s">
        <v>351</v>
      </c>
      <c r="F73" s="276" t="s">
        <v>516</v>
      </c>
      <c r="G73" s="354"/>
      <c r="H73" s="157" t="s">
        <v>265</v>
      </c>
      <c r="I73" s="157" t="s">
        <v>273</v>
      </c>
      <c r="J73" s="157" t="s">
        <v>242</v>
      </c>
      <c r="K73" s="353"/>
      <c r="L73" s="353"/>
      <c r="M73" s="355" t="str">
        <f t="shared" si="6"/>
        <v>C.IV. Peněžní prostředky      (ř. 72 až 73)</v>
      </c>
      <c r="N73" s="355" t="str">
        <f t="shared" si="7"/>
        <v>072 Peněžní prostředky v pokladně</v>
      </c>
      <c r="O73" s="356" t="str">
        <f t="shared" si="8"/>
        <v>Peněžní prostředky v pokladně</v>
      </c>
    </row>
    <row r="74" spans="1:15" x14ac:dyDescent="0.3">
      <c r="A74" s="275">
        <v>73</v>
      </c>
      <c r="B74" s="157" t="s">
        <v>949</v>
      </c>
      <c r="C74" s="157" t="s">
        <v>444</v>
      </c>
      <c r="D74" s="157" t="s">
        <v>1127</v>
      </c>
      <c r="E74" s="276" t="s">
        <v>351</v>
      </c>
      <c r="F74" s="276" t="s">
        <v>516</v>
      </c>
      <c r="H74" s="157" t="s">
        <v>265</v>
      </c>
      <c r="I74" s="157" t="s">
        <v>273</v>
      </c>
      <c r="J74" s="157" t="s">
        <v>243</v>
      </c>
      <c r="M74" s="355" t="str">
        <f t="shared" si="6"/>
        <v>C.IV. Peněžní prostředky      (ř. 72 až 73)</v>
      </c>
      <c r="N74" s="154" t="str">
        <f t="shared" si="7"/>
        <v>073 Peněžní prostředky na účtech</v>
      </c>
      <c r="O74" s="153" t="str">
        <f t="shared" si="8"/>
        <v>Peněžní prostředky na účtech</v>
      </c>
    </row>
    <row r="75" spans="1:15" x14ac:dyDescent="0.3">
      <c r="A75" s="275">
        <v>74</v>
      </c>
      <c r="B75" s="157" t="s">
        <v>1128</v>
      </c>
      <c r="C75" s="157" t="s">
        <v>1129</v>
      </c>
      <c r="D75" s="157" t="s">
        <v>1130</v>
      </c>
      <c r="E75" s="276" t="s">
        <v>351</v>
      </c>
      <c r="F75" s="276" t="s">
        <v>516</v>
      </c>
      <c r="M75" s="355" t="str">
        <f t="shared" si="6"/>
        <v>-</v>
      </c>
      <c r="N75" s="154" t="str">
        <f t="shared" si="7"/>
        <v>-</v>
      </c>
      <c r="O75" s="153" t="str">
        <f t="shared" si="8"/>
        <v>Časové rozlišení aktiv      (ř. 75 až 77)</v>
      </c>
    </row>
    <row r="76" spans="1:15" x14ac:dyDescent="0.3">
      <c r="A76" s="275">
        <v>75</v>
      </c>
      <c r="B76" s="157" t="s">
        <v>275</v>
      </c>
      <c r="C76" s="157" t="s">
        <v>445</v>
      </c>
      <c r="D76" s="157" t="s">
        <v>385</v>
      </c>
      <c r="E76" s="276" t="s">
        <v>351</v>
      </c>
      <c r="F76" s="276" t="s">
        <v>516</v>
      </c>
      <c r="H76" s="157" t="s">
        <v>274</v>
      </c>
      <c r="I76" s="157" t="s">
        <v>242</v>
      </c>
      <c r="M76" s="355" t="str">
        <f t="shared" si="6"/>
        <v>D.1. Časové rozlišení aktiv      (ř. 75 až 77)</v>
      </c>
      <c r="N76" s="154" t="str">
        <f t="shared" si="7"/>
        <v xml:space="preserve">075 Náklady příštích období </v>
      </c>
      <c r="O76" s="153" t="str">
        <f t="shared" si="8"/>
        <v xml:space="preserve">Náklady příštích období </v>
      </c>
    </row>
    <row r="77" spans="1:15" x14ac:dyDescent="0.3">
      <c r="A77" s="275">
        <v>76</v>
      </c>
      <c r="B77" s="157" t="s">
        <v>110</v>
      </c>
      <c r="C77" s="157" t="s">
        <v>446</v>
      </c>
      <c r="D77" s="157" t="s">
        <v>386</v>
      </c>
      <c r="E77" s="276" t="s">
        <v>351</v>
      </c>
      <c r="F77" s="276" t="s">
        <v>516</v>
      </c>
      <c r="H77" s="157" t="s">
        <v>274</v>
      </c>
      <c r="I77" s="157" t="s">
        <v>243</v>
      </c>
      <c r="M77" s="355" t="str">
        <f t="shared" si="6"/>
        <v>D.1. Časové rozlišení aktiv      (ř. 75 až 77)</v>
      </c>
      <c r="N77" s="154" t="str">
        <f t="shared" si="7"/>
        <v>076 Komplexní náklady příštích období</v>
      </c>
      <c r="O77" s="153" t="str">
        <f t="shared" si="8"/>
        <v>Komplexní náklady příštích období</v>
      </c>
    </row>
    <row r="78" spans="1:15" x14ac:dyDescent="0.3">
      <c r="A78" s="275">
        <v>77</v>
      </c>
      <c r="B78" s="157" t="s">
        <v>113</v>
      </c>
      <c r="C78" s="157" t="s">
        <v>447</v>
      </c>
      <c r="D78" s="157" t="s">
        <v>387</v>
      </c>
      <c r="E78" s="276" t="s">
        <v>351</v>
      </c>
      <c r="F78" s="276" t="s">
        <v>516</v>
      </c>
      <c r="H78" s="157" t="s">
        <v>274</v>
      </c>
      <c r="I78" s="157" t="s">
        <v>244</v>
      </c>
      <c r="M78" s="355" t="str">
        <f t="shared" si="6"/>
        <v>D.1. Časové rozlišení aktiv      (ř. 75 až 77)</v>
      </c>
      <c r="N78" s="154" t="str">
        <f t="shared" si="7"/>
        <v>077 Příjmy příštích období</v>
      </c>
      <c r="O78" s="153" t="str">
        <f t="shared" si="8"/>
        <v>Příjmy příštích období</v>
      </c>
    </row>
    <row r="79" spans="1:15" x14ac:dyDescent="0.3">
      <c r="A79" s="352">
        <v>78</v>
      </c>
      <c r="B79" s="157" t="s">
        <v>1131</v>
      </c>
      <c r="C79" s="157" t="s">
        <v>1132</v>
      </c>
      <c r="D79" s="157" t="s">
        <v>1133</v>
      </c>
      <c r="E79" s="276" t="s">
        <v>351</v>
      </c>
      <c r="F79" s="276" t="s">
        <v>517</v>
      </c>
      <c r="M79" s="355" t="str">
        <f t="shared" si="6"/>
        <v>-</v>
      </c>
      <c r="N79" s="154" t="str">
        <f t="shared" si="7"/>
        <v>-</v>
      </c>
      <c r="O79" s="153" t="str">
        <f t="shared" si="8"/>
        <v>PASIVA CELKEM      (ř. 79 + 101 + 141)</v>
      </c>
    </row>
    <row r="80" spans="1:15" x14ac:dyDescent="0.3">
      <c r="A80" s="275">
        <v>79</v>
      </c>
      <c r="B80" s="157" t="s">
        <v>1134</v>
      </c>
      <c r="C80" s="157" t="s">
        <v>1135</v>
      </c>
      <c r="D80" s="157" t="s">
        <v>1136</v>
      </c>
      <c r="E80" s="276" t="s">
        <v>351</v>
      </c>
      <c r="F80" s="276" t="s">
        <v>517</v>
      </c>
      <c r="M80" s="355" t="str">
        <f t="shared" si="6"/>
        <v>-</v>
      </c>
      <c r="N80" s="154" t="str">
        <f t="shared" si="7"/>
        <v>-</v>
      </c>
      <c r="O80" s="153" t="str">
        <f t="shared" si="8"/>
        <v>Vlastní kapitál      (ř. 80 + 84 + 92 + 95 + 99 + 100)</v>
      </c>
    </row>
    <row r="81" spans="1:15" x14ac:dyDescent="0.3">
      <c r="A81" s="352">
        <v>80</v>
      </c>
      <c r="B81" s="157" t="s">
        <v>1137</v>
      </c>
      <c r="C81" s="157" t="s">
        <v>1138</v>
      </c>
      <c r="D81" s="157" t="s">
        <v>1139</v>
      </c>
      <c r="E81" s="276" t="s">
        <v>351</v>
      </c>
      <c r="F81" s="276" t="s">
        <v>517</v>
      </c>
      <c r="M81" s="355" t="str">
        <f t="shared" si="6"/>
        <v>-</v>
      </c>
      <c r="N81" s="154" t="str">
        <f t="shared" si="7"/>
        <v>-</v>
      </c>
      <c r="O81" s="153" t="str">
        <f t="shared" si="8"/>
        <v>Základní kapitál      (ř. 81 až 83)</v>
      </c>
    </row>
    <row r="82" spans="1:15" x14ac:dyDescent="0.3">
      <c r="A82" s="275">
        <v>81</v>
      </c>
      <c r="B82" s="157" t="s">
        <v>119</v>
      </c>
      <c r="C82" s="157" t="s">
        <v>448</v>
      </c>
      <c r="D82" s="157" t="s">
        <v>388</v>
      </c>
      <c r="E82" s="276" t="s">
        <v>351</v>
      </c>
      <c r="F82" s="276" t="s">
        <v>517</v>
      </c>
      <c r="H82" s="157" t="s">
        <v>239</v>
      </c>
      <c r="I82" s="157" t="s">
        <v>241</v>
      </c>
      <c r="J82" s="157" t="s">
        <v>242</v>
      </c>
      <c r="M82" s="355" t="str">
        <f t="shared" si="6"/>
        <v>A.I. Základní kapitál      (ř. 81 až 83)</v>
      </c>
      <c r="N82" s="154" t="str">
        <f t="shared" si="7"/>
        <v>081 Základní kapitál</v>
      </c>
      <c r="O82" s="153" t="str">
        <f t="shared" si="8"/>
        <v>Základní kapitál</v>
      </c>
    </row>
    <row r="83" spans="1:15" x14ac:dyDescent="0.3">
      <c r="A83" s="352">
        <v>82</v>
      </c>
      <c r="B83" s="157" t="s">
        <v>952</v>
      </c>
      <c r="C83" s="157" t="s">
        <v>953</v>
      </c>
      <c r="D83" s="157" t="s">
        <v>954</v>
      </c>
      <c r="E83" s="276" t="s">
        <v>351</v>
      </c>
      <c r="F83" s="276" t="s">
        <v>517</v>
      </c>
      <c r="H83" s="157" t="s">
        <v>239</v>
      </c>
      <c r="I83" s="157" t="s">
        <v>241</v>
      </c>
      <c r="J83" s="157" t="s">
        <v>243</v>
      </c>
      <c r="M83" s="355" t="str">
        <f t="shared" si="6"/>
        <v>A.I. Základní kapitál      (ř. 81 až 83)</v>
      </c>
      <c r="N83" s="154" t="str">
        <f t="shared" si="7"/>
        <v>082 Vlastní podíly (-)</v>
      </c>
      <c r="O83" s="153" t="str">
        <f t="shared" si="8"/>
        <v>Vlastní podíly (-)</v>
      </c>
    </row>
    <row r="84" spans="1:15" x14ac:dyDescent="0.3">
      <c r="A84" s="275">
        <v>83</v>
      </c>
      <c r="B84" s="157" t="s">
        <v>125</v>
      </c>
      <c r="C84" s="157" t="s">
        <v>449</v>
      </c>
      <c r="D84" s="157" t="s">
        <v>389</v>
      </c>
      <c r="E84" s="276" t="s">
        <v>351</v>
      </c>
      <c r="F84" s="276" t="s">
        <v>517</v>
      </c>
      <c r="H84" s="157" t="s">
        <v>239</v>
      </c>
      <c r="I84" s="157" t="s">
        <v>241</v>
      </c>
      <c r="J84" s="157" t="s">
        <v>244</v>
      </c>
      <c r="M84" s="355" t="str">
        <f t="shared" si="6"/>
        <v>A.I. Základní kapitál      (ř. 81 až 83)</v>
      </c>
      <c r="N84" s="154" t="str">
        <f t="shared" si="7"/>
        <v>083 Změny základního kapitálu</v>
      </c>
      <c r="O84" s="153" t="str">
        <f t="shared" si="8"/>
        <v>Změny základního kapitálu</v>
      </c>
    </row>
    <row r="85" spans="1:15" x14ac:dyDescent="0.3">
      <c r="A85" s="352">
        <v>84</v>
      </c>
      <c r="B85" s="157" t="s">
        <v>1140</v>
      </c>
      <c r="C85" s="157" t="s">
        <v>1141</v>
      </c>
      <c r="D85" s="157" t="s">
        <v>1142</v>
      </c>
      <c r="E85" s="276" t="s">
        <v>351</v>
      </c>
      <c r="F85" s="276" t="s">
        <v>517</v>
      </c>
      <c r="M85" s="355" t="str">
        <f t="shared" si="6"/>
        <v>-</v>
      </c>
      <c r="N85" s="154" t="str">
        <f t="shared" si="7"/>
        <v>-</v>
      </c>
      <c r="O85" s="153" t="str">
        <f t="shared" si="8"/>
        <v>Ažio a kapitálové fondy      (ř. 85 + 86)</v>
      </c>
    </row>
    <row r="86" spans="1:15" x14ac:dyDescent="0.3">
      <c r="A86" s="275">
        <v>85</v>
      </c>
      <c r="B86" s="157" t="s">
        <v>626</v>
      </c>
      <c r="C86" s="157" t="s">
        <v>450</v>
      </c>
      <c r="D86" s="157" t="s">
        <v>1143</v>
      </c>
      <c r="E86" s="276" t="s">
        <v>351</v>
      </c>
      <c r="F86" s="276" t="s">
        <v>517</v>
      </c>
      <c r="H86" s="157" t="s">
        <v>239</v>
      </c>
      <c r="I86" s="157" t="s">
        <v>251</v>
      </c>
      <c r="J86" s="157" t="s">
        <v>242</v>
      </c>
      <c r="M86" s="355" t="str">
        <f t="shared" si="6"/>
        <v>A.II. Ažio a kapitálové fondy      (ř. 85 + 86)</v>
      </c>
      <c r="N86" s="154" t="str">
        <f t="shared" si="7"/>
        <v>085 Ážio</v>
      </c>
      <c r="O86" s="153" t="str">
        <f t="shared" si="8"/>
        <v>Ážio</v>
      </c>
    </row>
    <row r="87" spans="1:15" x14ac:dyDescent="0.3">
      <c r="A87" s="352">
        <v>86</v>
      </c>
      <c r="B87" s="157" t="s">
        <v>955</v>
      </c>
      <c r="C87" s="157" t="s">
        <v>956</v>
      </c>
      <c r="D87" s="157" t="s">
        <v>957</v>
      </c>
      <c r="E87" s="276" t="s">
        <v>351</v>
      </c>
      <c r="F87" s="276" t="s">
        <v>517</v>
      </c>
      <c r="H87" s="157" t="s">
        <v>239</v>
      </c>
      <c r="I87" s="157" t="s">
        <v>251</v>
      </c>
      <c r="J87" s="157" t="s">
        <v>243</v>
      </c>
      <c r="M87" s="355" t="str">
        <f t="shared" ref="M87:M118" si="9">IF(AND(H87=0,I87=0,J87=0),"-",IF(A87=2,CONCATENATE(H87,I87," ",B87),IF(ISBLANK(H86),CONCATENATE(H87,I87," ",B86),M86)))</f>
        <v>A.II. Ažio a kapitálové fondy      (ř. 85 + 86)</v>
      </c>
      <c r="N87" s="154" t="str">
        <f t="shared" si="7"/>
        <v>086 Kapitálové fondy</v>
      </c>
      <c r="O87" s="153" t="str">
        <f t="shared" si="8"/>
        <v>Kapitálové fondy</v>
      </c>
    </row>
    <row r="88" spans="1:15" x14ac:dyDescent="0.3">
      <c r="A88" s="275">
        <v>87</v>
      </c>
      <c r="B88" s="157" t="s">
        <v>121</v>
      </c>
      <c r="C88" s="157" t="s">
        <v>451</v>
      </c>
      <c r="D88" s="157" t="s">
        <v>390</v>
      </c>
      <c r="E88" s="276" t="s">
        <v>351</v>
      </c>
      <c r="F88" s="276" t="s">
        <v>517</v>
      </c>
      <c r="H88" s="157" t="s">
        <v>239</v>
      </c>
      <c r="I88" s="157" t="s">
        <v>251</v>
      </c>
      <c r="J88" s="157" t="s">
        <v>243</v>
      </c>
      <c r="K88" s="157" t="s">
        <v>242</v>
      </c>
      <c r="M88" s="355" t="str">
        <f t="shared" si="9"/>
        <v>A.II. Ažio a kapitálové fondy      (ř. 85 + 86)</v>
      </c>
      <c r="N88" s="154" t="str">
        <f t="shared" si="7"/>
        <v>087 Ostatní kapitálové fondy</v>
      </c>
      <c r="O88" s="153" t="str">
        <f t="shared" si="8"/>
        <v>Ostatní kapitálové fondy</v>
      </c>
    </row>
    <row r="89" spans="1:15" x14ac:dyDescent="0.3">
      <c r="A89" s="275">
        <v>88</v>
      </c>
      <c r="B89" s="157" t="s">
        <v>958</v>
      </c>
      <c r="C89" s="157" t="s">
        <v>452</v>
      </c>
      <c r="D89" s="157" t="s">
        <v>1144</v>
      </c>
      <c r="E89" s="276" t="s">
        <v>351</v>
      </c>
      <c r="F89" s="276" t="s">
        <v>517</v>
      </c>
      <c r="H89" s="157" t="s">
        <v>239</v>
      </c>
      <c r="I89" s="157" t="s">
        <v>251</v>
      </c>
      <c r="J89" s="157" t="s">
        <v>243</v>
      </c>
      <c r="K89" s="157" t="s">
        <v>243</v>
      </c>
      <c r="M89" s="355" t="str">
        <f t="shared" si="9"/>
        <v>A.II. Ažio a kapitálové fondy      (ř. 85 + 86)</v>
      </c>
      <c r="N89" s="154" t="str">
        <f t="shared" si="7"/>
        <v>088 Oceňovací rozdíly z přecenění majetku a závazků (+/-)</v>
      </c>
      <c r="O89" s="153" t="str">
        <f t="shared" si="8"/>
        <v>Oceňovací rozdíly z přecenění majetku a závazků (+/-)</v>
      </c>
    </row>
    <row r="90" spans="1:15" x14ac:dyDescent="0.3">
      <c r="A90" s="352">
        <v>89</v>
      </c>
      <c r="B90" s="157" t="s">
        <v>1235</v>
      </c>
      <c r="C90" s="157" t="s">
        <v>453</v>
      </c>
      <c r="D90" s="157" t="s">
        <v>1145</v>
      </c>
      <c r="E90" s="276" t="s">
        <v>351</v>
      </c>
      <c r="F90" s="276" t="s">
        <v>517</v>
      </c>
      <c r="H90" s="157" t="s">
        <v>239</v>
      </c>
      <c r="I90" s="157" t="s">
        <v>251</v>
      </c>
      <c r="J90" s="157" t="s">
        <v>243</v>
      </c>
      <c r="K90" s="157" t="s">
        <v>244</v>
      </c>
      <c r="M90" s="355" t="str">
        <f t="shared" si="9"/>
        <v>A.II. Ažio a kapitálové fondy      (ř. 85 + 86)</v>
      </c>
      <c r="N90" s="154" t="str">
        <f t="shared" si="7"/>
        <v>089 Oceň. rozdíly z přecenění při přeměnách obch. korporací (+/-)</v>
      </c>
      <c r="O90" s="153" t="str">
        <f t="shared" si="8"/>
        <v>Oceň. rozdíly z přecenění při přeměnách obch. korporací (+/-)</v>
      </c>
    </row>
    <row r="91" spans="1:15" x14ac:dyDescent="0.3">
      <c r="A91" s="275">
        <v>90</v>
      </c>
      <c r="B91" s="157" t="s">
        <v>1245</v>
      </c>
      <c r="C91" s="157" t="s">
        <v>454</v>
      </c>
      <c r="D91" s="157" t="s">
        <v>1247</v>
      </c>
      <c r="E91" s="276" t="s">
        <v>351</v>
      </c>
      <c r="F91" s="276" t="s">
        <v>517</v>
      </c>
      <c r="H91" s="157" t="s">
        <v>239</v>
      </c>
      <c r="I91" s="157" t="s">
        <v>251</v>
      </c>
      <c r="J91" s="157" t="s">
        <v>243</v>
      </c>
      <c r="K91" s="157" t="s">
        <v>245</v>
      </c>
      <c r="M91" s="355" t="str">
        <f t="shared" si="9"/>
        <v>A.II. Ažio a kapitálové fondy      (ř. 85 + 86)</v>
      </c>
      <c r="N91" s="154" t="str">
        <f t="shared" si="7"/>
        <v>090 Rozdíly z přeměn obchodních korporací (+/-)</v>
      </c>
      <c r="O91" s="153" t="str">
        <f t="shared" si="8"/>
        <v>Rozdíly z přeměn obchodních korporací (+/-)</v>
      </c>
    </row>
    <row r="92" spans="1:15" x14ac:dyDescent="0.3">
      <c r="A92" s="352">
        <v>91</v>
      </c>
      <c r="B92" s="157" t="s">
        <v>1246</v>
      </c>
      <c r="C92" s="157" t="s">
        <v>455</v>
      </c>
      <c r="D92" s="157" t="s">
        <v>1248</v>
      </c>
      <c r="E92" s="276" t="s">
        <v>351</v>
      </c>
      <c r="F92" s="276" t="s">
        <v>517</v>
      </c>
      <c r="H92" s="157" t="s">
        <v>239</v>
      </c>
      <c r="I92" s="157" t="s">
        <v>251</v>
      </c>
      <c r="J92" s="157" t="s">
        <v>243</v>
      </c>
      <c r="K92" s="157" t="s">
        <v>246</v>
      </c>
      <c r="M92" s="355" t="str">
        <f t="shared" si="9"/>
        <v>A.II. Ažio a kapitálové fondy      (ř. 85 + 86)</v>
      </c>
      <c r="N92" s="154" t="str">
        <f t="shared" si="7"/>
        <v>091 Rozdíly z ocenění při přeměnách obchodních korporací (+/-)</v>
      </c>
      <c r="O92" s="153" t="str">
        <f t="shared" si="8"/>
        <v>Rozdíly z ocenění při přeměnách obchodních korporací (+/-)</v>
      </c>
    </row>
    <row r="93" spans="1:15" x14ac:dyDescent="0.3">
      <c r="A93" s="275">
        <v>92</v>
      </c>
      <c r="B93" s="157" t="s">
        <v>1146</v>
      </c>
      <c r="C93" s="157" t="s">
        <v>1147</v>
      </c>
      <c r="D93" s="157" t="s">
        <v>1148</v>
      </c>
      <c r="E93" s="276" t="s">
        <v>351</v>
      </c>
      <c r="F93" s="276" t="s">
        <v>517</v>
      </c>
      <c r="M93" s="355" t="str">
        <f t="shared" si="9"/>
        <v>-</v>
      </c>
      <c r="N93" s="154" t="str">
        <f t="shared" si="7"/>
        <v>-</v>
      </c>
      <c r="O93" s="153" t="str">
        <f t="shared" si="8"/>
        <v>Fondy ze zisku      (ř. 93 + 94)</v>
      </c>
    </row>
    <row r="94" spans="1:15" x14ac:dyDescent="0.3">
      <c r="A94" s="352">
        <v>93</v>
      </c>
      <c r="B94" s="157" t="s">
        <v>959</v>
      </c>
      <c r="C94" s="157" t="s">
        <v>960</v>
      </c>
      <c r="D94" s="157" t="s">
        <v>1149</v>
      </c>
      <c r="E94" s="276" t="s">
        <v>351</v>
      </c>
      <c r="F94" s="276" t="s">
        <v>517</v>
      </c>
      <c r="H94" s="157" t="s">
        <v>239</v>
      </c>
      <c r="I94" s="157" t="s">
        <v>256</v>
      </c>
      <c r="J94" s="157" t="s">
        <v>242</v>
      </c>
      <c r="M94" s="355" t="str">
        <f t="shared" si="9"/>
        <v>A.III. Fondy ze zisku      (ř. 93 + 94)</v>
      </c>
      <c r="N94" s="154" t="str">
        <f t="shared" si="7"/>
        <v>093 Ostatní rezervní fondy</v>
      </c>
      <c r="O94" s="153" t="str">
        <f t="shared" si="8"/>
        <v>Ostatní rezervní fondy</v>
      </c>
    </row>
    <row r="95" spans="1:15" x14ac:dyDescent="0.3">
      <c r="A95" s="275">
        <v>94</v>
      </c>
      <c r="B95" s="157" t="s">
        <v>280</v>
      </c>
      <c r="C95" s="157" t="s">
        <v>456</v>
      </c>
      <c r="D95" s="157" t="s">
        <v>391</v>
      </c>
      <c r="E95" s="276" t="s">
        <v>351</v>
      </c>
      <c r="F95" s="276" t="s">
        <v>517</v>
      </c>
      <c r="H95" s="157" t="s">
        <v>239</v>
      </c>
      <c r="I95" s="157" t="s">
        <v>256</v>
      </c>
      <c r="J95" s="157" t="s">
        <v>243</v>
      </c>
      <c r="M95" s="355" t="str">
        <f t="shared" si="9"/>
        <v>A.III. Fondy ze zisku      (ř. 93 + 94)</v>
      </c>
      <c r="N95" s="154" t="str">
        <f t="shared" si="7"/>
        <v>094 Statutární a ostatní fondy</v>
      </c>
      <c r="O95" s="153" t="str">
        <f t="shared" si="8"/>
        <v>Statutární a ostatní fondy</v>
      </c>
    </row>
    <row r="96" spans="1:15" x14ac:dyDescent="0.3">
      <c r="A96" s="352">
        <v>95</v>
      </c>
      <c r="B96" s="157" t="s">
        <v>1283</v>
      </c>
      <c r="C96" s="157" t="s">
        <v>1284</v>
      </c>
      <c r="D96" s="157" t="s">
        <v>1285</v>
      </c>
      <c r="E96" s="276" t="s">
        <v>351</v>
      </c>
      <c r="F96" s="276" t="s">
        <v>517</v>
      </c>
      <c r="M96" s="355" t="str">
        <f t="shared" si="9"/>
        <v>-</v>
      </c>
      <c r="N96" s="154" t="str">
        <f t="shared" si="7"/>
        <v>-</v>
      </c>
      <c r="O96" s="153" t="str">
        <f t="shared" si="8"/>
        <v>Výsledek hospodaření minulých let (+/-)      (ř. 96 + 97)</v>
      </c>
    </row>
    <row r="97" spans="1:15" x14ac:dyDescent="0.3">
      <c r="A97" s="275">
        <v>96</v>
      </c>
      <c r="B97" s="157" t="s">
        <v>1230</v>
      </c>
      <c r="C97" s="157" t="s">
        <v>457</v>
      </c>
      <c r="D97" s="157" t="s">
        <v>392</v>
      </c>
      <c r="E97" s="276" t="s">
        <v>351</v>
      </c>
      <c r="F97" s="276" t="s">
        <v>517</v>
      </c>
      <c r="H97" s="157" t="s">
        <v>239</v>
      </c>
      <c r="I97" s="157" t="s">
        <v>273</v>
      </c>
      <c r="J97" s="157" t="s">
        <v>242</v>
      </c>
      <c r="M97" s="355" t="str">
        <f t="shared" si="9"/>
        <v>A.IV. Výsledek hospodaření minulých let (+/-)      (ř. 96 + 97)</v>
      </c>
      <c r="N97" s="154" t="str">
        <f t="shared" si="7"/>
        <v>096 Nerozdělený zisk nebo neuhrazená ztráta minulých let (+/-)</v>
      </c>
      <c r="O97" s="153" t="str">
        <f t="shared" si="8"/>
        <v>Nerozdělený zisk nebo neuhrazená ztráta minulých let (+/-)</v>
      </c>
    </row>
    <row r="98" spans="1:15" x14ac:dyDescent="0.3">
      <c r="A98" s="352">
        <v>97</v>
      </c>
      <c r="B98" s="157" t="s">
        <v>1249</v>
      </c>
      <c r="C98" s="157" t="s">
        <v>458</v>
      </c>
      <c r="D98" s="157" t="s">
        <v>1250</v>
      </c>
      <c r="E98" s="276" t="s">
        <v>351</v>
      </c>
      <c r="F98" s="276" t="s">
        <v>517</v>
      </c>
      <c r="H98" s="157" t="s">
        <v>239</v>
      </c>
      <c r="I98" s="157" t="s">
        <v>273</v>
      </c>
      <c r="J98" s="157" t="s">
        <v>243</v>
      </c>
      <c r="M98" s="355" t="str">
        <f t="shared" si="9"/>
        <v>A.IV. Výsledek hospodaření minulých let (+/-)      (ř. 96 + 97)</v>
      </c>
      <c r="N98" s="154" t="str">
        <f t="shared" ref="N98:N129" si="10">IF(ISBLANK(H98),"-",CONCATENATE(TEXT(A98,"000")," ",B98))</f>
        <v>097 Jiný výsledek hospodaření minulých let (+/-)</v>
      </c>
      <c r="O98" s="153" t="str">
        <f t="shared" ref="O98:O129" si="11">IF(jazyk="česky",B98,IF(jazyk="anglicky",C98,IF(jazyk="německy",D98,"-")))</f>
        <v>Jiný výsledek hospodaření minulých let (+/-)</v>
      </c>
    </row>
    <row r="99" spans="1:15" x14ac:dyDescent="0.3">
      <c r="A99" s="275">
        <v>98</v>
      </c>
      <c r="B99" s="157" t="s">
        <v>1251</v>
      </c>
      <c r="C99" s="157" t="s">
        <v>1150</v>
      </c>
      <c r="D99" s="157" t="s">
        <v>1252</v>
      </c>
      <c r="E99" s="276" t="s">
        <v>351</v>
      </c>
      <c r="F99" s="276" t="s">
        <v>517</v>
      </c>
      <c r="M99" s="355" t="str">
        <f t="shared" si="9"/>
        <v>-</v>
      </c>
      <c r="N99" s="154" t="str">
        <f t="shared" si="10"/>
        <v>-</v>
      </c>
      <c r="O99" s="153" t="str">
        <f t="shared" si="11"/>
        <v>Výsledek hospodaření běžného účetního období (+/-)</v>
      </c>
    </row>
    <row r="100" spans="1:15" x14ac:dyDescent="0.3">
      <c r="A100" s="352">
        <v>99</v>
      </c>
      <c r="B100" s="157" t="s">
        <v>969</v>
      </c>
      <c r="C100" s="157" t="s">
        <v>630</v>
      </c>
      <c r="D100" s="157" t="s">
        <v>631</v>
      </c>
      <c r="E100" s="276" t="s">
        <v>351</v>
      </c>
      <c r="F100" s="276" t="s">
        <v>517</v>
      </c>
      <c r="H100" s="157" t="s">
        <v>239</v>
      </c>
      <c r="I100" s="157" t="s">
        <v>281</v>
      </c>
      <c r="J100" s="157" t="s">
        <v>243</v>
      </c>
      <c r="M100" s="355" t="str">
        <f t="shared" si="9"/>
        <v>A.V. Výsledek hospodaření běžného účetního období (+/-)</v>
      </c>
      <c r="N100" s="154" t="str">
        <f t="shared" si="10"/>
        <v>099 Rozhodnuto o zálohové výplatě podílu na zisku</v>
      </c>
      <c r="O100" s="153" t="str">
        <f t="shared" si="11"/>
        <v>Rozhodnuto o zálohové výplatě podílu na zisku</v>
      </c>
    </row>
    <row r="101" spans="1:15" x14ac:dyDescent="0.3">
      <c r="A101" s="275">
        <v>100</v>
      </c>
      <c r="B101" s="157" t="s">
        <v>1286</v>
      </c>
      <c r="C101" s="157" t="s">
        <v>1287</v>
      </c>
      <c r="D101" s="157" t="s">
        <v>1288</v>
      </c>
      <c r="E101" s="276" t="s">
        <v>351</v>
      </c>
      <c r="F101" s="276" t="s">
        <v>517</v>
      </c>
      <c r="M101" s="355" t="str">
        <f t="shared" si="9"/>
        <v>-</v>
      </c>
      <c r="N101" s="154" t="str">
        <f t="shared" si="10"/>
        <v>-</v>
      </c>
      <c r="O101" s="153" t="str">
        <f t="shared" si="11"/>
        <v>Cizí zdroje      (ř. 101 + 106)</v>
      </c>
    </row>
    <row r="102" spans="1:15" x14ac:dyDescent="0.3">
      <c r="A102" s="352">
        <v>101</v>
      </c>
      <c r="B102" s="157" t="s">
        <v>1289</v>
      </c>
      <c r="C102" s="157" t="s">
        <v>1290</v>
      </c>
      <c r="D102" s="157" t="s">
        <v>1291</v>
      </c>
      <c r="E102" s="276" t="s">
        <v>351</v>
      </c>
      <c r="F102" s="276" t="s">
        <v>517</v>
      </c>
      <c r="M102" s="355" t="str">
        <f t="shared" si="9"/>
        <v>-</v>
      </c>
      <c r="N102" s="154" t="str">
        <f t="shared" si="10"/>
        <v>-</v>
      </c>
      <c r="O102" s="153" t="str">
        <f t="shared" si="11"/>
        <v>Rezervy      (ř. 102 až 105)</v>
      </c>
    </row>
    <row r="103" spans="1:15" x14ac:dyDescent="0.3">
      <c r="A103" s="275">
        <v>102</v>
      </c>
      <c r="B103" s="157" t="s">
        <v>135</v>
      </c>
      <c r="C103" s="157" t="s">
        <v>460</v>
      </c>
      <c r="D103" s="157" t="s">
        <v>1151</v>
      </c>
      <c r="E103" s="276" t="s">
        <v>351</v>
      </c>
      <c r="F103" s="276" t="s">
        <v>517</v>
      </c>
      <c r="H103" s="157" t="s">
        <v>240</v>
      </c>
      <c r="I103" s="157" t="s">
        <v>241</v>
      </c>
      <c r="J103" s="157" t="s">
        <v>242</v>
      </c>
      <c r="M103" s="355" t="str">
        <f t="shared" si="9"/>
        <v>B.I. Rezervy      (ř. 102 až 105)</v>
      </c>
      <c r="N103" s="154" t="str">
        <f t="shared" si="10"/>
        <v>102 Rezerva na důchody a podobné závazky</v>
      </c>
      <c r="O103" s="153" t="str">
        <f t="shared" si="11"/>
        <v>Rezerva na důchody a podobné závazky</v>
      </c>
    </row>
    <row r="104" spans="1:15" x14ac:dyDescent="0.3">
      <c r="A104" s="352">
        <v>103</v>
      </c>
      <c r="B104" s="157" t="s">
        <v>136</v>
      </c>
      <c r="C104" s="157" t="s">
        <v>461</v>
      </c>
      <c r="D104" s="157" t="s">
        <v>393</v>
      </c>
      <c r="E104" s="276" t="s">
        <v>351</v>
      </c>
      <c r="F104" s="276" t="s">
        <v>517</v>
      </c>
      <c r="H104" s="157" t="s">
        <v>240</v>
      </c>
      <c r="I104" s="157" t="s">
        <v>241</v>
      </c>
      <c r="J104" s="157" t="s">
        <v>243</v>
      </c>
      <c r="M104" s="355" t="str">
        <f t="shared" si="9"/>
        <v>B.I. Rezervy      (ř. 102 až 105)</v>
      </c>
      <c r="N104" s="154" t="str">
        <f t="shared" si="10"/>
        <v>103 Rezerva na daň z příjmů</v>
      </c>
      <c r="O104" s="153" t="str">
        <f t="shared" si="11"/>
        <v>Rezerva na daň z příjmů</v>
      </c>
    </row>
    <row r="105" spans="1:15" x14ac:dyDescent="0.3">
      <c r="A105" s="275">
        <v>104</v>
      </c>
      <c r="B105" s="157" t="s">
        <v>134</v>
      </c>
      <c r="C105" s="157" t="s">
        <v>459</v>
      </c>
      <c r="D105" s="157" t="s">
        <v>1152</v>
      </c>
      <c r="E105" s="276" t="s">
        <v>351</v>
      </c>
      <c r="F105" s="276" t="s">
        <v>517</v>
      </c>
      <c r="H105" s="157" t="s">
        <v>240</v>
      </c>
      <c r="I105" s="157" t="s">
        <v>241</v>
      </c>
      <c r="J105" s="157" t="s">
        <v>244</v>
      </c>
      <c r="M105" s="355" t="str">
        <f t="shared" si="9"/>
        <v>B.I. Rezervy      (ř. 102 až 105)</v>
      </c>
      <c r="N105" s="154" t="str">
        <f t="shared" si="10"/>
        <v>104 Rezervy podle zvláštních právních předpisů</v>
      </c>
      <c r="O105" s="153" t="str">
        <f t="shared" si="11"/>
        <v>Rezervy podle zvláštních právních předpisů</v>
      </c>
    </row>
    <row r="106" spans="1:15" x14ac:dyDescent="0.3">
      <c r="A106" s="352">
        <v>105</v>
      </c>
      <c r="B106" s="157" t="s">
        <v>137</v>
      </c>
      <c r="C106" s="157" t="s">
        <v>462</v>
      </c>
      <c r="D106" s="157" t="s">
        <v>394</v>
      </c>
      <c r="E106" s="276" t="s">
        <v>351</v>
      </c>
      <c r="F106" s="276" t="s">
        <v>517</v>
      </c>
      <c r="H106" s="157" t="s">
        <v>240</v>
      </c>
      <c r="I106" s="157" t="s">
        <v>241</v>
      </c>
      <c r="J106" s="157" t="s">
        <v>245</v>
      </c>
      <c r="M106" s="355" t="str">
        <f t="shared" si="9"/>
        <v>B.I. Rezervy      (ř. 102 až 105)</v>
      </c>
      <c r="N106" s="154" t="str">
        <f t="shared" si="10"/>
        <v>105 Ostatní rezervy</v>
      </c>
      <c r="O106" s="153" t="str">
        <f t="shared" si="11"/>
        <v>Ostatní rezervy</v>
      </c>
    </row>
    <row r="107" spans="1:15" x14ac:dyDescent="0.3">
      <c r="A107" s="275">
        <v>106</v>
      </c>
      <c r="B107" s="157" t="s">
        <v>1292</v>
      </c>
      <c r="C107" s="157" t="s">
        <v>1293</v>
      </c>
      <c r="D107" s="157" t="s">
        <v>1294</v>
      </c>
      <c r="E107" s="276" t="s">
        <v>351</v>
      </c>
      <c r="F107" s="276" t="s">
        <v>517</v>
      </c>
      <c r="M107" s="355" t="str">
        <f t="shared" si="9"/>
        <v>-</v>
      </c>
      <c r="N107" s="154" t="str">
        <f t="shared" si="10"/>
        <v>-</v>
      </c>
      <c r="O107" s="153" t="str">
        <f t="shared" si="11"/>
        <v>Závazky      (ř. 107 + 122)</v>
      </c>
    </row>
    <row r="108" spans="1:15" x14ac:dyDescent="0.3">
      <c r="A108" s="352">
        <v>107</v>
      </c>
      <c r="B108" s="157" t="s">
        <v>1295</v>
      </c>
      <c r="C108" s="157" t="s">
        <v>1296</v>
      </c>
      <c r="D108" s="157" t="s">
        <v>1297</v>
      </c>
      <c r="E108" s="276" t="s">
        <v>351</v>
      </c>
      <c r="F108" s="276" t="s">
        <v>517</v>
      </c>
      <c r="M108" s="355" t="str">
        <f t="shared" si="9"/>
        <v>-</v>
      </c>
      <c r="N108" s="154" t="str">
        <f t="shared" si="10"/>
        <v>-</v>
      </c>
      <c r="O108" s="153" t="str">
        <f t="shared" si="11"/>
        <v>Dlouhodobé závazky      (ř. 108 + 111 až 118)</v>
      </c>
    </row>
    <row r="109" spans="1:15" x14ac:dyDescent="0.3">
      <c r="A109" s="352">
        <v>108</v>
      </c>
      <c r="B109" s="157" t="s">
        <v>283</v>
      </c>
      <c r="C109" s="157" t="s">
        <v>467</v>
      </c>
      <c r="D109" s="157" t="s">
        <v>399</v>
      </c>
      <c r="E109" s="276" t="s">
        <v>351</v>
      </c>
      <c r="F109" s="276" t="s">
        <v>517</v>
      </c>
      <c r="H109" s="157" t="s">
        <v>265</v>
      </c>
      <c r="I109" s="157" t="s">
        <v>241</v>
      </c>
      <c r="J109" s="157" t="s">
        <v>242</v>
      </c>
      <c r="M109" s="355" t="str">
        <f t="shared" si="9"/>
        <v>C.I. Dlouhodobé závazky      (ř. 108 + 111 až 118)</v>
      </c>
      <c r="N109" s="154" t="str">
        <f t="shared" si="10"/>
        <v>108 Vydané dluhopisy</v>
      </c>
      <c r="O109" s="153" t="str">
        <f t="shared" si="11"/>
        <v>Vydané dluhopisy</v>
      </c>
    </row>
    <row r="110" spans="1:15" x14ac:dyDescent="0.3">
      <c r="A110" s="352">
        <v>109</v>
      </c>
      <c r="B110" s="157" t="s">
        <v>961</v>
      </c>
      <c r="C110" s="157" t="s">
        <v>1153</v>
      </c>
      <c r="D110" s="157" t="s">
        <v>1154</v>
      </c>
      <c r="E110" s="276" t="s">
        <v>351</v>
      </c>
      <c r="F110" s="276" t="s">
        <v>517</v>
      </c>
      <c r="H110" s="157" t="s">
        <v>265</v>
      </c>
      <c r="I110" s="157" t="s">
        <v>241</v>
      </c>
      <c r="J110" s="157" t="s">
        <v>242</v>
      </c>
      <c r="K110" s="157" t="s">
        <v>242</v>
      </c>
      <c r="M110" s="355" t="str">
        <f t="shared" si="9"/>
        <v>C.I. Dlouhodobé závazky      (ř. 108 + 111 až 118)</v>
      </c>
      <c r="N110" s="154" t="str">
        <f t="shared" si="10"/>
        <v>109 Vyměnitelné dluhopisy</v>
      </c>
      <c r="O110" s="153" t="str">
        <f t="shared" si="11"/>
        <v>Vyměnitelné dluhopisy</v>
      </c>
    </row>
    <row r="111" spans="1:15" x14ac:dyDescent="0.3">
      <c r="A111" s="275">
        <v>110</v>
      </c>
      <c r="B111" s="157" t="s">
        <v>962</v>
      </c>
      <c r="C111" s="157" t="s">
        <v>1155</v>
      </c>
      <c r="D111" s="157" t="s">
        <v>1156</v>
      </c>
      <c r="E111" s="276" t="s">
        <v>351</v>
      </c>
      <c r="F111" s="276" t="s">
        <v>517</v>
      </c>
      <c r="H111" s="157" t="s">
        <v>265</v>
      </c>
      <c r="I111" s="157" t="s">
        <v>241</v>
      </c>
      <c r="J111" s="157" t="s">
        <v>242</v>
      </c>
      <c r="K111" s="157" t="s">
        <v>243</v>
      </c>
      <c r="M111" s="355" t="str">
        <f t="shared" si="9"/>
        <v>C.I. Dlouhodobé závazky      (ř. 108 + 111 až 118)</v>
      </c>
      <c r="N111" s="154" t="str">
        <f t="shared" si="10"/>
        <v>110 Ostatní dluhopisy</v>
      </c>
      <c r="O111" s="153" t="str">
        <f t="shared" si="11"/>
        <v>Ostatní dluhopisy</v>
      </c>
    </row>
    <row r="112" spans="1:15" x14ac:dyDescent="0.3">
      <c r="A112" s="275">
        <v>111</v>
      </c>
      <c r="B112" s="157" t="s">
        <v>963</v>
      </c>
      <c r="C112" s="157" t="s">
        <v>1070</v>
      </c>
      <c r="D112" s="157" t="s">
        <v>1157</v>
      </c>
      <c r="E112" s="276" t="s">
        <v>351</v>
      </c>
      <c r="F112" s="276" t="s">
        <v>517</v>
      </c>
      <c r="H112" s="157" t="s">
        <v>265</v>
      </c>
      <c r="I112" s="157" t="s">
        <v>241</v>
      </c>
      <c r="J112" s="157" t="s">
        <v>243</v>
      </c>
      <c r="M112" s="355" t="str">
        <f t="shared" si="9"/>
        <v>C.I. Dlouhodobé závazky      (ř. 108 + 111 až 118)</v>
      </c>
      <c r="N112" s="154" t="str">
        <f t="shared" si="10"/>
        <v>111 Závazky k úvěrovým institucím</v>
      </c>
      <c r="O112" s="153" t="str">
        <f t="shared" si="11"/>
        <v>Závazky k úvěrovým institucím</v>
      </c>
    </row>
    <row r="113" spans="1:15" x14ac:dyDescent="0.3">
      <c r="A113" s="275">
        <v>112</v>
      </c>
      <c r="B113" s="157" t="s">
        <v>141</v>
      </c>
      <c r="C113" s="157" t="s">
        <v>466</v>
      </c>
      <c r="D113" s="157" t="s">
        <v>398</v>
      </c>
      <c r="E113" s="276" t="s">
        <v>351</v>
      </c>
      <c r="F113" s="276" t="s">
        <v>517</v>
      </c>
      <c r="H113" s="157" t="s">
        <v>265</v>
      </c>
      <c r="I113" s="157" t="s">
        <v>241</v>
      </c>
      <c r="J113" s="157" t="s">
        <v>244</v>
      </c>
      <c r="M113" s="355" t="str">
        <f t="shared" si="9"/>
        <v>C.I. Dlouhodobé závazky      (ř. 108 + 111 až 118)</v>
      </c>
      <c r="N113" s="154" t="str">
        <f t="shared" si="10"/>
        <v>112 Dlouhodobé přijaté zálohy</v>
      </c>
      <c r="O113" s="153" t="str">
        <f t="shared" si="11"/>
        <v>Dlouhodobé přijaté zálohy</v>
      </c>
    </row>
    <row r="114" spans="1:15" x14ac:dyDescent="0.3">
      <c r="A114" s="275">
        <v>113</v>
      </c>
      <c r="B114" s="157" t="s">
        <v>74</v>
      </c>
      <c r="C114" s="157" t="s">
        <v>463</v>
      </c>
      <c r="D114" s="157" t="s">
        <v>395</v>
      </c>
      <c r="E114" s="276" t="s">
        <v>351</v>
      </c>
      <c r="F114" s="276" t="s">
        <v>517</v>
      </c>
      <c r="H114" s="157" t="s">
        <v>265</v>
      </c>
      <c r="I114" s="157" t="s">
        <v>241</v>
      </c>
      <c r="J114" s="157" t="s">
        <v>245</v>
      </c>
      <c r="M114" s="355" t="str">
        <f t="shared" si="9"/>
        <v>C.I. Dlouhodobé závazky      (ř. 108 + 111 až 118)</v>
      </c>
      <c r="N114" s="154" t="str">
        <f t="shared" si="10"/>
        <v>113 Závazky z obchodních vztahů</v>
      </c>
      <c r="O114" s="153" t="str">
        <f t="shared" si="11"/>
        <v>Závazky z obchodních vztahů</v>
      </c>
    </row>
    <row r="115" spans="1:15" x14ac:dyDescent="0.3">
      <c r="A115" s="275">
        <v>114</v>
      </c>
      <c r="B115" s="157" t="s">
        <v>142</v>
      </c>
      <c r="C115" s="157" t="s">
        <v>468</v>
      </c>
      <c r="D115" s="157" t="s">
        <v>400</v>
      </c>
      <c r="E115" s="276" t="s">
        <v>351</v>
      </c>
      <c r="F115" s="276" t="s">
        <v>517</v>
      </c>
      <c r="H115" s="157" t="s">
        <v>265</v>
      </c>
      <c r="I115" s="157" t="s">
        <v>241</v>
      </c>
      <c r="J115" s="157" t="s">
        <v>246</v>
      </c>
      <c r="M115" s="355" t="str">
        <f t="shared" si="9"/>
        <v>C.I. Dlouhodobé závazky      (ř. 108 + 111 až 118)</v>
      </c>
      <c r="N115" s="154" t="str">
        <f t="shared" si="10"/>
        <v>114 Dlouhodobé směnky k úhradě</v>
      </c>
      <c r="O115" s="153" t="str">
        <f t="shared" si="11"/>
        <v>Dlouhodobé směnky k úhradě</v>
      </c>
    </row>
    <row r="116" spans="1:15" x14ac:dyDescent="0.3">
      <c r="A116" s="275">
        <v>115</v>
      </c>
      <c r="B116" s="157" t="s">
        <v>282</v>
      </c>
      <c r="C116" s="157" t="s">
        <v>464</v>
      </c>
      <c r="D116" s="157" t="s">
        <v>396</v>
      </c>
      <c r="E116" s="276" t="s">
        <v>351</v>
      </c>
      <c r="F116" s="276" t="s">
        <v>517</v>
      </c>
      <c r="H116" s="157" t="s">
        <v>265</v>
      </c>
      <c r="I116" s="157" t="s">
        <v>241</v>
      </c>
      <c r="J116" s="157" t="s">
        <v>247</v>
      </c>
      <c r="M116" s="355" t="str">
        <f t="shared" si="9"/>
        <v>C.I. Dlouhodobé závazky      (ř. 108 + 111 až 118)</v>
      </c>
      <c r="N116" s="154" t="str">
        <f t="shared" si="10"/>
        <v>115 Závazky - ovládaná nebo ovládající osoba</v>
      </c>
      <c r="O116" s="153" t="str">
        <f t="shared" si="11"/>
        <v>Závazky - ovládaná nebo ovládající osoba</v>
      </c>
    </row>
    <row r="117" spans="1:15" x14ac:dyDescent="0.3">
      <c r="A117" s="352">
        <v>116</v>
      </c>
      <c r="B117" s="157" t="s">
        <v>95</v>
      </c>
      <c r="C117" s="157" t="s">
        <v>465</v>
      </c>
      <c r="D117" s="157" t="s">
        <v>397</v>
      </c>
      <c r="E117" s="276" t="s">
        <v>351</v>
      </c>
      <c r="F117" s="276" t="s">
        <v>517</v>
      </c>
      <c r="H117" s="157" t="s">
        <v>265</v>
      </c>
      <c r="I117" s="157" t="s">
        <v>241</v>
      </c>
      <c r="J117" s="157" t="s">
        <v>248</v>
      </c>
      <c r="M117" s="355" t="str">
        <f t="shared" si="9"/>
        <v>C.I. Dlouhodobé závazky      (ř. 108 + 111 až 118)</v>
      </c>
      <c r="N117" s="154" t="str">
        <f t="shared" si="10"/>
        <v>116 Závazky - podstatný vliv</v>
      </c>
      <c r="O117" s="153" t="str">
        <f t="shared" si="11"/>
        <v>Závazky - podstatný vliv</v>
      </c>
    </row>
    <row r="118" spans="1:15" x14ac:dyDescent="0.3">
      <c r="A118" s="275">
        <v>117</v>
      </c>
      <c r="B118" s="157" t="s">
        <v>285</v>
      </c>
      <c r="C118" s="157" t="s">
        <v>471</v>
      </c>
      <c r="D118" s="157" t="s">
        <v>403</v>
      </c>
      <c r="E118" s="276" t="s">
        <v>351</v>
      </c>
      <c r="F118" s="276" t="s">
        <v>517</v>
      </c>
      <c r="H118" s="157" t="s">
        <v>265</v>
      </c>
      <c r="I118" s="157" t="s">
        <v>241</v>
      </c>
      <c r="J118" s="157" t="s">
        <v>249</v>
      </c>
      <c r="M118" s="355" t="str">
        <f t="shared" si="9"/>
        <v>C.I. Dlouhodobé závazky      (ř. 108 + 111 až 118)</v>
      </c>
      <c r="N118" s="154" t="str">
        <f t="shared" si="10"/>
        <v>117 Odložený daňový závazek</v>
      </c>
      <c r="O118" s="153" t="str">
        <f t="shared" si="11"/>
        <v>Odložený daňový závazek</v>
      </c>
    </row>
    <row r="119" spans="1:15" x14ac:dyDescent="0.3">
      <c r="A119" s="352">
        <v>118</v>
      </c>
      <c r="B119" s="157" t="s">
        <v>964</v>
      </c>
      <c r="C119" s="157" t="s">
        <v>1158</v>
      </c>
      <c r="D119" s="157" t="s">
        <v>402</v>
      </c>
      <c r="E119" s="276" t="s">
        <v>351</v>
      </c>
      <c r="F119" s="276" t="s">
        <v>517</v>
      </c>
      <c r="H119" s="157" t="s">
        <v>265</v>
      </c>
      <c r="I119" s="157" t="s">
        <v>241</v>
      </c>
      <c r="J119" s="157" t="s">
        <v>252</v>
      </c>
      <c r="M119" s="355" t="str">
        <f t="shared" ref="M119:M143" si="12">IF(AND(H119=0,I119=0,J119=0),"-",IF(A119=2,CONCATENATE(H119,I119," ",B119),IF(ISBLANK(H118),CONCATENATE(H119,I119," ",B118),M118)))</f>
        <v>C.I. Dlouhodobé závazky      (ř. 108 + 111 až 118)</v>
      </c>
      <c r="N119" s="154" t="str">
        <f t="shared" si="10"/>
        <v>118 Závazky ostatní</v>
      </c>
      <c r="O119" s="153" t="str">
        <f t="shared" si="11"/>
        <v>Závazky ostatní</v>
      </c>
    </row>
    <row r="120" spans="1:15" x14ac:dyDescent="0.3">
      <c r="A120" s="275">
        <v>119</v>
      </c>
      <c r="B120" s="157" t="s">
        <v>627</v>
      </c>
      <c r="C120" s="157" t="s">
        <v>628</v>
      </c>
      <c r="D120" s="157" t="s">
        <v>629</v>
      </c>
      <c r="E120" s="276" t="s">
        <v>351</v>
      </c>
      <c r="F120" s="276" t="s">
        <v>517</v>
      </c>
      <c r="H120" s="157" t="s">
        <v>265</v>
      </c>
      <c r="I120" s="157" t="s">
        <v>241</v>
      </c>
      <c r="J120" s="157" t="s">
        <v>252</v>
      </c>
      <c r="K120" s="157" t="s">
        <v>242</v>
      </c>
      <c r="M120" s="355" t="str">
        <f t="shared" si="12"/>
        <v>C.I. Dlouhodobé závazky      (ř. 108 + 111 až 118)</v>
      </c>
      <c r="N120" s="154" t="str">
        <f t="shared" si="10"/>
        <v>119 Závazky ke společníkům</v>
      </c>
      <c r="O120" s="153" t="str">
        <f t="shared" si="11"/>
        <v>Závazky ke společníkům</v>
      </c>
    </row>
    <row r="121" spans="1:15" x14ac:dyDescent="0.3">
      <c r="A121" s="352">
        <v>120</v>
      </c>
      <c r="B121" s="157" t="s">
        <v>284</v>
      </c>
      <c r="C121" s="157" t="s">
        <v>469</v>
      </c>
      <c r="D121" s="157" t="s">
        <v>401</v>
      </c>
      <c r="E121" s="276" t="s">
        <v>351</v>
      </c>
      <c r="F121" s="276" t="s">
        <v>517</v>
      </c>
      <c r="H121" s="157" t="s">
        <v>265</v>
      </c>
      <c r="I121" s="157" t="s">
        <v>241</v>
      </c>
      <c r="J121" s="157" t="s">
        <v>252</v>
      </c>
      <c r="K121" s="157" t="s">
        <v>243</v>
      </c>
      <c r="M121" s="355" t="str">
        <f t="shared" si="12"/>
        <v>C.I. Dlouhodobé závazky      (ř. 108 + 111 až 118)</v>
      </c>
      <c r="N121" s="154" t="str">
        <f t="shared" si="10"/>
        <v>120 Dohadné účty pasívní</v>
      </c>
      <c r="O121" s="153" t="str">
        <f t="shared" si="11"/>
        <v>Dohadné účty pasívní</v>
      </c>
    </row>
    <row r="122" spans="1:15" x14ac:dyDescent="0.3">
      <c r="A122" s="352">
        <v>121</v>
      </c>
      <c r="B122" s="157" t="s">
        <v>108</v>
      </c>
      <c r="C122" s="157" t="s">
        <v>470</v>
      </c>
      <c r="D122" s="157" t="s">
        <v>1159</v>
      </c>
      <c r="E122" s="276" t="s">
        <v>351</v>
      </c>
      <c r="F122" s="276" t="s">
        <v>517</v>
      </c>
      <c r="H122" s="157" t="s">
        <v>265</v>
      </c>
      <c r="I122" s="157" t="s">
        <v>241</v>
      </c>
      <c r="J122" s="157" t="s">
        <v>252</v>
      </c>
      <c r="K122" s="157" t="s">
        <v>244</v>
      </c>
      <c r="M122" s="355" t="str">
        <f t="shared" si="12"/>
        <v>C.I. Dlouhodobé závazky      (ř. 108 + 111 až 118)</v>
      </c>
      <c r="N122" s="154" t="str">
        <f t="shared" si="10"/>
        <v>121 Jiné závazky</v>
      </c>
      <c r="O122" s="153" t="str">
        <f t="shared" si="11"/>
        <v>Jiné závazky</v>
      </c>
    </row>
    <row r="123" spans="1:15" x14ac:dyDescent="0.3">
      <c r="A123" s="275">
        <v>122</v>
      </c>
      <c r="B123" s="157" t="s">
        <v>1298</v>
      </c>
      <c r="C123" s="157" t="s">
        <v>1299</v>
      </c>
      <c r="D123" s="157" t="s">
        <v>1300</v>
      </c>
      <c r="E123" s="276" t="s">
        <v>351</v>
      </c>
      <c r="F123" s="276" t="s">
        <v>517</v>
      </c>
      <c r="M123" s="355" t="str">
        <f t="shared" si="12"/>
        <v>-</v>
      </c>
      <c r="N123" s="154" t="str">
        <f t="shared" si="10"/>
        <v>-</v>
      </c>
      <c r="O123" s="153" t="str">
        <f t="shared" si="11"/>
        <v>Krátkodobé závazky      (ř. 123 + 126 až 132)</v>
      </c>
    </row>
    <row r="124" spans="1:15" x14ac:dyDescent="0.3">
      <c r="A124" s="275">
        <v>123</v>
      </c>
      <c r="B124" s="157" t="s">
        <v>283</v>
      </c>
      <c r="C124" s="157" t="s">
        <v>467</v>
      </c>
      <c r="D124" s="157" t="s">
        <v>399</v>
      </c>
      <c r="E124" s="276" t="s">
        <v>351</v>
      </c>
      <c r="F124" s="276" t="s">
        <v>517</v>
      </c>
      <c r="H124" s="157" t="s">
        <v>265</v>
      </c>
      <c r="I124" s="157" t="s">
        <v>251</v>
      </c>
      <c r="J124" s="157" t="s">
        <v>242</v>
      </c>
      <c r="M124" s="355" t="str">
        <f t="shared" si="12"/>
        <v>C.II. Krátkodobé závazky      (ř. 123 + 126 až 132)</v>
      </c>
      <c r="N124" s="154" t="str">
        <f t="shared" si="10"/>
        <v>123 Vydané dluhopisy</v>
      </c>
      <c r="O124" s="153" t="str">
        <f t="shared" si="11"/>
        <v>Vydané dluhopisy</v>
      </c>
    </row>
    <row r="125" spans="1:15" x14ac:dyDescent="0.3">
      <c r="A125" s="352">
        <v>124</v>
      </c>
      <c r="B125" s="157" t="s">
        <v>961</v>
      </c>
      <c r="C125" s="157" t="s">
        <v>1153</v>
      </c>
      <c r="D125" s="157" t="s">
        <v>1154</v>
      </c>
      <c r="E125" s="276" t="s">
        <v>351</v>
      </c>
      <c r="F125" s="276" t="s">
        <v>517</v>
      </c>
      <c r="H125" s="157" t="s">
        <v>265</v>
      </c>
      <c r="I125" s="157" t="s">
        <v>251</v>
      </c>
      <c r="J125" s="157" t="s">
        <v>242</v>
      </c>
      <c r="K125" s="157" t="s">
        <v>242</v>
      </c>
      <c r="M125" s="355" t="str">
        <f t="shared" si="12"/>
        <v>C.II. Krátkodobé závazky      (ř. 123 + 126 až 132)</v>
      </c>
      <c r="N125" s="154" t="str">
        <f t="shared" si="10"/>
        <v>124 Vyměnitelné dluhopisy</v>
      </c>
      <c r="O125" s="153" t="str">
        <f t="shared" si="11"/>
        <v>Vyměnitelné dluhopisy</v>
      </c>
    </row>
    <row r="126" spans="1:15" x14ac:dyDescent="0.3">
      <c r="A126" s="275">
        <v>125</v>
      </c>
      <c r="B126" s="157" t="s">
        <v>962</v>
      </c>
      <c r="C126" s="157" t="s">
        <v>1155</v>
      </c>
      <c r="D126" s="157" t="s">
        <v>1156</v>
      </c>
      <c r="E126" s="276" t="s">
        <v>351</v>
      </c>
      <c r="F126" s="276" t="s">
        <v>517</v>
      </c>
      <c r="H126" s="157" t="s">
        <v>265</v>
      </c>
      <c r="I126" s="157" t="s">
        <v>251</v>
      </c>
      <c r="J126" s="157" t="s">
        <v>242</v>
      </c>
      <c r="K126" s="157" t="s">
        <v>243</v>
      </c>
      <c r="M126" s="355" t="str">
        <f t="shared" si="12"/>
        <v>C.II. Krátkodobé závazky      (ř. 123 + 126 až 132)</v>
      </c>
      <c r="N126" s="154" t="str">
        <f t="shared" si="10"/>
        <v>125 Ostatní dluhopisy</v>
      </c>
      <c r="O126" s="153" t="str">
        <f t="shared" si="11"/>
        <v>Ostatní dluhopisy</v>
      </c>
    </row>
    <row r="127" spans="1:15" x14ac:dyDescent="0.3">
      <c r="A127" s="275">
        <v>126</v>
      </c>
      <c r="B127" s="157" t="s">
        <v>963</v>
      </c>
      <c r="C127" s="157" t="s">
        <v>1160</v>
      </c>
      <c r="D127" s="157" t="s">
        <v>1161</v>
      </c>
      <c r="E127" s="276" t="s">
        <v>351</v>
      </c>
      <c r="F127" s="276" t="s">
        <v>517</v>
      </c>
      <c r="H127" s="157" t="s">
        <v>265</v>
      </c>
      <c r="I127" s="157" t="s">
        <v>251</v>
      </c>
      <c r="J127" s="157" t="s">
        <v>243</v>
      </c>
      <c r="M127" s="355" t="str">
        <f t="shared" si="12"/>
        <v>C.II. Krátkodobé závazky      (ř. 123 + 126 až 132)</v>
      </c>
      <c r="N127" s="154" t="str">
        <f t="shared" si="10"/>
        <v>126 Závazky k úvěrovým institucím</v>
      </c>
      <c r="O127" s="153" t="str">
        <f t="shared" si="11"/>
        <v>Závazky k úvěrovým institucím</v>
      </c>
    </row>
    <row r="128" spans="1:15" x14ac:dyDescent="0.3">
      <c r="A128" s="275">
        <v>127</v>
      </c>
      <c r="B128" s="157" t="s">
        <v>1041</v>
      </c>
      <c r="C128" s="157" t="s">
        <v>475</v>
      </c>
      <c r="D128" s="157" t="s">
        <v>407</v>
      </c>
      <c r="E128" s="276" t="s">
        <v>351</v>
      </c>
      <c r="F128" s="276" t="s">
        <v>517</v>
      </c>
      <c r="H128" s="157" t="s">
        <v>265</v>
      </c>
      <c r="I128" s="157" t="s">
        <v>251</v>
      </c>
      <c r="J128" s="157" t="s">
        <v>244</v>
      </c>
      <c r="M128" s="355" t="str">
        <f t="shared" si="12"/>
        <v>C.II. Krátkodobé závazky      (ř. 123 + 126 až 132)</v>
      </c>
      <c r="N128" s="154" t="str">
        <f t="shared" si="10"/>
        <v>127 Krátkodobé přijaté zálohy</v>
      </c>
      <c r="O128" s="153" t="str">
        <f t="shared" si="11"/>
        <v>Krátkodobé přijaté zálohy</v>
      </c>
    </row>
    <row r="129" spans="1:15" x14ac:dyDescent="0.3">
      <c r="A129" s="275">
        <v>128</v>
      </c>
      <c r="B129" s="157" t="s">
        <v>74</v>
      </c>
      <c r="C129" s="157" t="s">
        <v>463</v>
      </c>
      <c r="D129" s="157" t="s">
        <v>395</v>
      </c>
      <c r="E129" s="276" t="s">
        <v>351</v>
      </c>
      <c r="F129" s="276" t="s">
        <v>517</v>
      </c>
      <c r="H129" s="157" t="s">
        <v>265</v>
      </c>
      <c r="I129" s="157" t="s">
        <v>251</v>
      </c>
      <c r="J129" s="157" t="s">
        <v>245</v>
      </c>
      <c r="M129" s="355" t="str">
        <f t="shared" si="12"/>
        <v>C.II. Krátkodobé závazky      (ř. 123 + 126 až 132)</v>
      </c>
      <c r="N129" s="154" t="str">
        <f t="shared" si="10"/>
        <v>128 Závazky z obchodních vztahů</v>
      </c>
      <c r="O129" s="153" t="str">
        <f t="shared" si="11"/>
        <v>Závazky z obchodních vztahů</v>
      </c>
    </row>
    <row r="130" spans="1:15" x14ac:dyDescent="0.3">
      <c r="A130" s="352">
        <v>129</v>
      </c>
      <c r="B130" s="157" t="s">
        <v>965</v>
      </c>
      <c r="C130" s="157" t="s">
        <v>966</v>
      </c>
      <c r="D130" s="157" t="s">
        <v>967</v>
      </c>
      <c r="E130" s="276" t="s">
        <v>351</v>
      </c>
      <c r="F130" s="276" t="s">
        <v>517</v>
      </c>
      <c r="H130" s="157" t="s">
        <v>265</v>
      </c>
      <c r="I130" s="157" t="s">
        <v>251</v>
      </c>
      <c r="J130" s="157" t="s">
        <v>246</v>
      </c>
      <c r="M130" s="355" t="str">
        <f t="shared" si="12"/>
        <v>C.II. Krátkodobé závazky      (ř. 123 + 126 až 132)</v>
      </c>
      <c r="N130" s="154" t="str">
        <f t="shared" ref="N130:N143" si="13">IF(ISBLANK(H130),"-",CONCATENATE(TEXT(A130,"000")," ",B130))</f>
        <v>129 Krátkodobé směnky k úhradě</v>
      </c>
      <c r="O130" s="153" t="str">
        <f t="shared" ref="O130:O143" si="14">IF(jazyk="česky",B130,IF(jazyk="anglicky",C130,IF(jazyk="německy",D130,"-")))</f>
        <v>Krátkodobé směnky k úhradě</v>
      </c>
    </row>
    <row r="131" spans="1:15" x14ac:dyDescent="0.3">
      <c r="A131" s="275">
        <v>130</v>
      </c>
      <c r="B131" s="157" t="s">
        <v>282</v>
      </c>
      <c r="C131" s="157" t="s">
        <v>464</v>
      </c>
      <c r="D131" s="157" t="s">
        <v>396</v>
      </c>
      <c r="E131" s="276" t="s">
        <v>351</v>
      </c>
      <c r="F131" s="276" t="s">
        <v>517</v>
      </c>
      <c r="H131" s="157" t="s">
        <v>265</v>
      </c>
      <c r="I131" s="157" t="s">
        <v>251</v>
      </c>
      <c r="J131" s="157" t="s">
        <v>247</v>
      </c>
      <c r="M131" s="355" t="str">
        <f t="shared" si="12"/>
        <v>C.II. Krátkodobé závazky      (ř. 123 + 126 až 132)</v>
      </c>
      <c r="N131" s="154" t="str">
        <f t="shared" si="13"/>
        <v>130 Závazky - ovládaná nebo ovládající osoba</v>
      </c>
      <c r="O131" s="153" t="str">
        <f t="shared" si="14"/>
        <v>Závazky - ovládaná nebo ovládající osoba</v>
      </c>
    </row>
    <row r="132" spans="1:15" x14ac:dyDescent="0.3">
      <c r="A132" s="275">
        <v>131</v>
      </c>
      <c r="B132" s="157" t="s">
        <v>95</v>
      </c>
      <c r="C132" s="157" t="s">
        <v>465</v>
      </c>
      <c r="D132" s="157" t="s">
        <v>397</v>
      </c>
      <c r="E132" s="276" t="s">
        <v>351</v>
      </c>
      <c r="F132" s="276" t="s">
        <v>517</v>
      </c>
      <c r="H132" s="157" t="s">
        <v>265</v>
      </c>
      <c r="I132" s="157" t="s">
        <v>251</v>
      </c>
      <c r="J132" s="157" t="s">
        <v>248</v>
      </c>
      <c r="M132" s="355" t="str">
        <f t="shared" si="12"/>
        <v>C.II. Krátkodobé závazky      (ř. 123 + 126 až 132)</v>
      </c>
      <c r="N132" s="154" t="str">
        <f t="shared" si="13"/>
        <v>131 Závazky - podstatný vliv</v>
      </c>
      <c r="O132" s="153" t="str">
        <f t="shared" si="14"/>
        <v>Závazky - podstatný vliv</v>
      </c>
    </row>
    <row r="133" spans="1:15" x14ac:dyDescent="0.3">
      <c r="A133" s="352">
        <v>132</v>
      </c>
      <c r="B133" s="157" t="s">
        <v>964</v>
      </c>
      <c r="C133" s="157" t="s">
        <v>1071</v>
      </c>
      <c r="D133" s="157" t="s">
        <v>402</v>
      </c>
      <c r="E133" s="276" t="s">
        <v>351</v>
      </c>
      <c r="F133" s="276" t="s">
        <v>517</v>
      </c>
      <c r="H133" s="157" t="s">
        <v>265</v>
      </c>
      <c r="I133" s="157" t="s">
        <v>251</v>
      </c>
      <c r="J133" s="157" t="s">
        <v>249</v>
      </c>
      <c r="M133" s="355" t="str">
        <f t="shared" si="12"/>
        <v>C.II. Krátkodobé závazky      (ř. 123 + 126 až 132)</v>
      </c>
      <c r="N133" s="154" t="str">
        <f t="shared" si="13"/>
        <v>132 Závazky ostatní</v>
      </c>
      <c r="O133" s="153" t="str">
        <f t="shared" si="14"/>
        <v>Závazky ostatní</v>
      </c>
    </row>
    <row r="134" spans="1:15" x14ac:dyDescent="0.3">
      <c r="A134" s="275">
        <v>133</v>
      </c>
      <c r="B134" s="157" t="s">
        <v>627</v>
      </c>
      <c r="C134" s="157" t="s">
        <v>628</v>
      </c>
      <c r="D134" s="157" t="s">
        <v>629</v>
      </c>
      <c r="E134" s="276" t="s">
        <v>351</v>
      </c>
      <c r="F134" s="276" t="s">
        <v>517</v>
      </c>
      <c r="H134" s="157" t="s">
        <v>265</v>
      </c>
      <c r="I134" s="157" t="s">
        <v>251</v>
      </c>
      <c r="J134" s="157" t="s">
        <v>249</v>
      </c>
      <c r="K134" s="157" t="s">
        <v>242</v>
      </c>
      <c r="M134" s="355" t="str">
        <f t="shared" si="12"/>
        <v>C.II. Krátkodobé závazky      (ř. 123 + 126 až 132)</v>
      </c>
      <c r="N134" s="154" t="str">
        <f t="shared" si="13"/>
        <v>133 Závazky ke společníkům</v>
      </c>
      <c r="O134" s="153" t="str">
        <f t="shared" si="14"/>
        <v>Závazky ke společníkům</v>
      </c>
    </row>
    <row r="135" spans="1:15" x14ac:dyDescent="0.3">
      <c r="A135" s="275">
        <v>134</v>
      </c>
      <c r="B135" s="157" t="s">
        <v>232</v>
      </c>
      <c r="C135" s="157" t="s">
        <v>476</v>
      </c>
      <c r="D135" s="157" t="s">
        <v>1162</v>
      </c>
      <c r="E135" s="276" t="s">
        <v>351</v>
      </c>
      <c r="F135" s="276" t="s">
        <v>517</v>
      </c>
      <c r="H135" s="157" t="s">
        <v>265</v>
      </c>
      <c r="I135" s="157" t="s">
        <v>251</v>
      </c>
      <c r="J135" s="157" t="s">
        <v>249</v>
      </c>
      <c r="K135" s="157" t="s">
        <v>243</v>
      </c>
      <c r="M135" s="355" t="str">
        <f t="shared" si="12"/>
        <v>C.II. Krátkodobé závazky      (ř. 123 + 126 až 132)</v>
      </c>
      <c r="N135" s="154" t="str">
        <f t="shared" si="13"/>
        <v>134 Krátkodobé finanční výpomoci</v>
      </c>
      <c r="O135" s="153" t="str">
        <f t="shared" si="14"/>
        <v>Krátkodobé finanční výpomoci</v>
      </c>
    </row>
    <row r="136" spans="1:15" x14ac:dyDescent="0.3">
      <c r="A136" s="352">
        <v>135</v>
      </c>
      <c r="B136" s="157" t="s">
        <v>292</v>
      </c>
      <c r="C136" s="157" t="s">
        <v>472</v>
      </c>
      <c r="D136" s="157" t="s">
        <v>404</v>
      </c>
      <c r="E136" s="276" t="s">
        <v>351</v>
      </c>
      <c r="F136" s="276" t="s">
        <v>517</v>
      </c>
      <c r="H136" s="157" t="s">
        <v>265</v>
      </c>
      <c r="I136" s="157" t="s">
        <v>251</v>
      </c>
      <c r="J136" s="157" t="s">
        <v>249</v>
      </c>
      <c r="K136" s="157" t="s">
        <v>244</v>
      </c>
      <c r="M136" s="355" t="str">
        <f t="shared" si="12"/>
        <v>C.II. Krátkodobé závazky      (ř. 123 + 126 až 132)</v>
      </c>
      <c r="N136" s="154" t="str">
        <f t="shared" si="13"/>
        <v>135 Závazky k zaměstnancům</v>
      </c>
      <c r="O136" s="153" t="str">
        <f t="shared" si="14"/>
        <v>Závazky k zaměstnancům</v>
      </c>
    </row>
    <row r="137" spans="1:15" x14ac:dyDescent="0.3">
      <c r="A137" s="352">
        <v>136</v>
      </c>
      <c r="B137" s="157" t="s">
        <v>293</v>
      </c>
      <c r="C137" s="157" t="s">
        <v>473</v>
      </c>
      <c r="D137" s="157" t="s">
        <v>405</v>
      </c>
      <c r="E137" s="276" t="s">
        <v>351</v>
      </c>
      <c r="F137" s="276" t="s">
        <v>517</v>
      </c>
      <c r="H137" s="157" t="s">
        <v>265</v>
      </c>
      <c r="I137" s="157" t="s">
        <v>251</v>
      </c>
      <c r="J137" s="157" t="s">
        <v>249</v>
      </c>
      <c r="K137" s="157" t="s">
        <v>245</v>
      </c>
      <c r="M137" s="355" t="str">
        <f t="shared" si="12"/>
        <v>C.II. Krátkodobé závazky      (ř. 123 + 126 až 132)</v>
      </c>
      <c r="N137" s="154" t="str">
        <f t="shared" si="13"/>
        <v>136 Závazky ze sociálního zabezpečení a zdravotního pojištění</v>
      </c>
      <c r="O137" s="153" t="str">
        <f t="shared" si="14"/>
        <v>Závazky ze sociálního zabezpečení a zdravotního pojištění</v>
      </c>
    </row>
    <row r="138" spans="1:15" x14ac:dyDescent="0.3">
      <c r="A138" s="275">
        <v>137</v>
      </c>
      <c r="B138" s="157" t="s">
        <v>294</v>
      </c>
      <c r="C138" s="157" t="s">
        <v>474</v>
      </c>
      <c r="D138" s="157" t="s">
        <v>406</v>
      </c>
      <c r="E138" s="276" t="s">
        <v>351</v>
      </c>
      <c r="F138" s="276" t="s">
        <v>517</v>
      </c>
      <c r="H138" s="157" t="s">
        <v>265</v>
      </c>
      <c r="I138" s="157" t="s">
        <v>251</v>
      </c>
      <c r="J138" s="157" t="s">
        <v>249</v>
      </c>
      <c r="K138" s="157" t="s">
        <v>246</v>
      </c>
      <c r="M138" s="355" t="str">
        <f t="shared" si="12"/>
        <v>C.II. Krátkodobé závazky      (ř. 123 + 126 až 132)</v>
      </c>
      <c r="N138" s="154" t="str">
        <f t="shared" si="13"/>
        <v>137 Stát - daňové závazky a dotace</v>
      </c>
      <c r="O138" s="153" t="str">
        <f t="shared" si="14"/>
        <v>Stát - daňové závazky a dotace</v>
      </c>
    </row>
    <row r="139" spans="1:15" x14ac:dyDescent="0.3">
      <c r="A139" s="352">
        <v>138</v>
      </c>
      <c r="B139" s="157" t="s">
        <v>295</v>
      </c>
      <c r="C139" s="157" t="s">
        <v>469</v>
      </c>
      <c r="D139" s="157" t="s">
        <v>401</v>
      </c>
      <c r="E139" s="276" t="s">
        <v>351</v>
      </c>
      <c r="F139" s="276" t="s">
        <v>517</v>
      </c>
      <c r="H139" s="157" t="s">
        <v>265</v>
      </c>
      <c r="I139" s="157" t="s">
        <v>251</v>
      </c>
      <c r="J139" s="157" t="s">
        <v>249</v>
      </c>
      <c r="K139" s="157" t="s">
        <v>247</v>
      </c>
      <c r="M139" s="355" t="str">
        <f t="shared" si="12"/>
        <v>C.II. Krátkodobé závazky      (ř. 123 + 126 až 132)</v>
      </c>
      <c r="N139" s="154" t="str">
        <f t="shared" si="13"/>
        <v xml:space="preserve">138 Dohadné účty pasivní </v>
      </c>
      <c r="O139" s="153" t="str">
        <f t="shared" si="14"/>
        <v xml:space="preserve">Dohadné účty pasivní </v>
      </c>
    </row>
    <row r="140" spans="1:15" x14ac:dyDescent="0.3">
      <c r="A140" s="275">
        <v>139</v>
      </c>
      <c r="B140" s="157" t="s">
        <v>108</v>
      </c>
      <c r="C140" s="157" t="s">
        <v>470</v>
      </c>
      <c r="D140" s="157" t="s">
        <v>1159</v>
      </c>
      <c r="E140" s="276" t="s">
        <v>351</v>
      </c>
      <c r="F140" s="276" t="s">
        <v>517</v>
      </c>
      <c r="H140" s="157" t="s">
        <v>265</v>
      </c>
      <c r="I140" s="157" t="s">
        <v>251</v>
      </c>
      <c r="J140" s="157" t="s">
        <v>249</v>
      </c>
      <c r="K140" s="157" t="s">
        <v>248</v>
      </c>
      <c r="M140" s="355" t="str">
        <f t="shared" si="12"/>
        <v>C.II. Krátkodobé závazky      (ř. 123 + 126 až 132)</v>
      </c>
      <c r="N140" s="154" t="str">
        <f t="shared" si="13"/>
        <v>139 Jiné závazky</v>
      </c>
      <c r="O140" s="153" t="str">
        <f t="shared" si="14"/>
        <v>Jiné závazky</v>
      </c>
    </row>
    <row r="141" spans="1:15" x14ac:dyDescent="0.3">
      <c r="A141" s="352">
        <v>140</v>
      </c>
      <c r="B141" s="157" t="s">
        <v>1301</v>
      </c>
      <c r="C141" s="157" t="s">
        <v>1302</v>
      </c>
      <c r="D141" s="157" t="s">
        <v>1303</v>
      </c>
      <c r="E141" s="276" t="s">
        <v>351</v>
      </c>
      <c r="F141" s="276" t="s">
        <v>517</v>
      </c>
      <c r="M141" s="355" t="str">
        <f t="shared" si="12"/>
        <v>-</v>
      </c>
      <c r="N141" s="154" t="str">
        <f t="shared" si="13"/>
        <v>-</v>
      </c>
      <c r="O141" s="153" t="str">
        <f t="shared" si="14"/>
        <v>Časové rozlišení pasiv      (ř. 141 + 142)</v>
      </c>
    </row>
    <row r="142" spans="1:15" x14ac:dyDescent="0.3">
      <c r="A142" s="275">
        <v>141</v>
      </c>
      <c r="B142" s="157" t="s">
        <v>111</v>
      </c>
      <c r="C142" s="157" t="s">
        <v>477</v>
      </c>
      <c r="D142" s="157" t="s">
        <v>408</v>
      </c>
      <c r="E142" s="276" t="s">
        <v>351</v>
      </c>
      <c r="F142" s="276" t="s">
        <v>517</v>
      </c>
      <c r="H142" s="157" t="s">
        <v>274</v>
      </c>
      <c r="I142" s="157" t="s">
        <v>242</v>
      </c>
      <c r="M142" s="355" t="str">
        <f t="shared" si="12"/>
        <v>D.1. Časové rozlišení pasiv      (ř. 141 + 142)</v>
      </c>
      <c r="N142" s="154" t="str">
        <f t="shared" si="13"/>
        <v>141 Výdaje příštích období</v>
      </c>
      <c r="O142" s="153" t="str">
        <f t="shared" si="14"/>
        <v>Výdaje příštích období</v>
      </c>
    </row>
    <row r="143" spans="1:15" x14ac:dyDescent="0.3">
      <c r="A143" s="352">
        <v>142</v>
      </c>
      <c r="B143" s="157" t="s">
        <v>296</v>
      </c>
      <c r="C143" s="157" t="s">
        <v>478</v>
      </c>
      <c r="D143" s="157" t="s">
        <v>409</v>
      </c>
      <c r="E143" s="276" t="s">
        <v>351</v>
      </c>
      <c r="F143" s="276" t="s">
        <v>517</v>
      </c>
      <c r="H143" s="157" t="s">
        <v>274</v>
      </c>
      <c r="I143" s="157" t="s">
        <v>243</v>
      </c>
      <c r="M143" s="355" t="str">
        <f t="shared" si="12"/>
        <v>D.1. Časové rozlišení pasiv      (ř. 141 + 142)</v>
      </c>
      <c r="N143" s="154" t="str">
        <f t="shared" si="13"/>
        <v xml:space="preserve">142 Výnosy příštích období </v>
      </c>
      <c r="O143" s="153" t="str">
        <f t="shared" si="14"/>
        <v xml:space="preserve">Výnosy příštích období </v>
      </c>
    </row>
  </sheetData>
  <pageMargins left="0.7" right="0.7" top="0.78740157499999996" bottom="0.78740157499999996" header="0.3" footer="0.3"/>
  <pageSetup orientation="portrait" horizontalDpi="4294967294" verticalDpi="300" r:id="rId1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0" tint="-0.499984740745262"/>
  </sheetPr>
  <dimension ref="A1:P50"/>
  <sheetViews>
    <sheetView showGridLines="0" showRowColHeaders="0" showZeros="0" topLeftCell="F1" zoomScale="80" zoomScaleNormal="80" workbookViewId="0">
      <pane ySplit="7" topLeftCell="A8" activePane="bottomLeft" state="frozen"/>
      <selection activeCell="L38" sqref="L38"/>
      <selection pane="bottomLeft" activeCell="L11" sqref="L11"/>
    </sheetView>
  </sheetViews>
  <sheetFormatPr defaultColWidth="0" defaultRowHeight="23.4" x14ac:dyDescent="0.3"/>
  <cols>
    <col min="1" max="1" width="2.88671875" style="251" hidden="1" customWidth="1"/>
    <col min="2" max="2" width="6.6640625" style="252" hidden="1" customWidth="1"/>
    <col min="3" max="3" width="2.88671875" style="251" hidden="1" customWidth="1"/>
    <col min="4" max="4" width="3.44140625" style="251" hidden="1" customWidth="1"/>
    <col min="5" max="5" width="2.33203125" style="251" hidden="1" customWidth="1"/>
    <col min="6" max="6" width="2.88671875" style="256" customWidth="1"/>
    <col min="7" max="9" width="2.88671875" style="125" customWidth="1"/>
    <col min="10" max="10" width="73" style="125" customWidth="1"/>
    <col min="11" max="11" width="6.44140625" style="125" customWidth="1"/>
    <col min="12" max="13" width="25.6640625" style="125" customWidth="1"/>
    <col min="14" max="15" width="2.6640625" style="131" customWidth="1"/>
    <col min="16" max="16" width="0" style="125" hidden="1" customWidth="1"/>
    <col min="17" max="16384" width="9.109375" style="125" hidden="1"/>
  </cols>
  <sheetData>
    <row r="1" spans="1:15" s="250" customFormat="1" ht="25.8" x14ac:dyDescent="0.5">
      <c r="A1" s="247"/>
      <c r="B1" s="248"/>
      <c r="C1" s="247"/>
      <c r="D1" s="247"/>
      <c r="E1" s="247"/>
      <c r="F1" s="249"/>
      <c r="G1" s="127" t="str">
        <f>IF(jazyk="česky","PŘEHLED O PENĚŽNÍCH TOCÍCH",IF(jazyk="anglicky","CASH FLOW STATEMENT",IF(jazyk="německy","CASH FLOW","-")))</f>
        <v>PŘEHLED O PENĚŽNÍCH TOCÍCH</v>
      </c>
      <c r="H1" s="52"/>
      <c r="I1" s="52"/>
      <c r="J1" s="52"/>
      <c r="K1" s="53"/>
      <c r="L1" s="128"/>
      <c r="M1" s="129">
        <f>INDEX!C6</f>
        <v>0</v>
      </c>
    </row>
    <row r="2" spans="1:15" ht="15.6" x14ac:dyDescent="0.3">
      <c r="F2" s="253"/>
      <c r="G2" s="54" t="str">
        <f>CONCATENATE(IF(jazyk="česky","za období od ",IF(jazyk="anglicky","from ",IF(jazyk="německy","von ","-"))),DAY(INDEX!E11+1),".",MONTH(INDEX!E11+1),".",YEAR(INDEX!E11+1),IF(jazyk="česky"," do ",IF(jazyk="anglicky"," to ",IF(jazyk="německy"," bis "))),DAY(INDEX!D11),".",MONTH(INDEX!D11),".",YEAR(INDEX!D11))</f>
        <v>za období od 1.1.2025 do 31.12.2025</v>
      </c>
      <c r="H2" s="55"/>
      <c r="I2" s="55"/>
      <c r="J2" s="55"/>
      <c r="K2" s="56"/>
      <c r="L2" s="57"/>
      <c r="M2" s="58">
        <f>INDEX!C8</f>
        <v>0</v>
      </c>
      <c r="N2" s="125"/>
      <c r="O2" s="125"/>
    </row>
    <row r="3" spans="1:15" ht="15.6" x14ac:dyDescent="0.3">
      <c r="F3" s="254"/>
      <c r="G3" s="54" t="str">
        <f>CONCATENATE("(",VLOOKUP(zaokr,INDEX!I17:J18,2,0),")")</f>
        <v>(v celých tisících Kč)</v>
      </c>
      <c r="H3" s="57"/>
      <c r="I3" s="57"/>
      <c r="J3" s="57"/>
      <c r="K3" s="59"/>
      <c r="L3" s="141"/>
      <c r="M3" s="61">
        <f>INDEX!C4</f>
        <v>0</v>
      </c>
      <c r="N3" s="125"/>
      <c r="O3" s="125"/>
    </row>
    <row r="4" spans="1:15" ht="24" thickBot="1" x14ac:dyDescent="0.35">
      <c r="F4" s="255"/>
      <c r="G4" s="57"/>
      <c r="H4" s="57"/>
      <c r="I4" s="57"/>
      <c r="J4" s="57"/>
      <c r="K4" s="59"/>
      <c r="L4" s="106"/>
      <c r="M4" s="131"/>
      <c r="N4" s="125"/>
      <c r="O4" s="125"/>
    </row>
    <row r="5" spans="1:15" x14ac:dyDescent="0.3">
      <c r="G5" s="771" t="str">
        <f>IF(jazyk="česky","Označení",IF(jazyk="anglicky","Ident.",IF(jazyk="německy","Ident.","-")))</f>
        <v>Označení</v>
      </c>
      <c r="H5" s="772"/>
      <c r="I5" s="791"/>
      <c r="J5" s="62" t="str">
        <f>IF(jazyk="česky","PASIVA",IF(jazyk="anglicky","EQUITY AND LIABILITIES",IF(jazyk="německy","PASSIVA","-")))</f>
        <v>PASIVA</v>
      </c>
      <c r="K5" s="63" t="str">
        <f>IF(jazyk="česky","Číslo",IF(jazyk="anglicky"," ",IF(jazyk="německy"," ","-")))</f>
        <v>Číslo</v>
      </c>
      <c r="L5" s="780" t="str">
        <f>IF(jazyk="česky","Běžné účetní období",IF(jazyk="anglicky","Current period",IF(jazyk="německy","Laufende Periode","-")))</f>
        <v>Běžné účetní období</v>
      </c>
      <c r="M5" s="782" t="str">
        <f>IF(jazyk="česky","Minulé účetní období",IF(jazyk="anglicky","Prior period",IF(jazyk="německy","Vorjahr","-")))</f>
        <v>Minulé účetní období</v>
      </c>
      <c r="N5" s="125"/>
      <c r="O5" s="125"/>
    </row>
    <row r="6" spans="1:15" ht="12.75" customHeight="1" x14ac:dyDescent="0.3">
      <c r="G6" s="64"/>
      <c r="H6" s="65"/>
      <c r="I6" s="66"/>
      <c r="J6" s="67"/>
      <c r="K6" s="68" t="str">
        <f>IF(jazyk="česky","řádku",IF(jazyk="anglicky","Line",IF(jazyk="německy","Zeile","-")))</f>
        <v>řádku</v>
      </c>
      <c r="L6" s="781"/>
      <c r="M6" s="783"/>
      <c r="N6" s="125"/>
      <c r="O6" s="125"/>
    </row>
    <row r="7" spans="1:15" ht="13.5" customHeight="1" thickBot="1" x14ac:dyDescent="0.35">
      <c r="G7" s="778" t="s">
        <v>259</v>
      </c>
      <c r="H7" s="779"/>
      <c r="I7" s="792"/>
      <c r="J7" s="112" t="s">
        <v>237</v>
      </c>
      <c r="K7" s="113" t="s">
        <v>238</v>
      </c>
      <c r="L7" s="108">
        <v>5</v>
      </c>
      <c r="M7" s="265">
        <v>6</v>
      </c>
      <c r="N7" s="125"/>
      <c r="O7" s="125"/>
    </row>
    <row r="8" spans="1:15" ht="25.8" thickBot="1" x14ac:dyDescent="0.35">
      <c r="F8" s="257"/>
      <c r="G8" s="341" t="s">
        <v>333</v>
      </c>
      <c r="H8" s="342"/>
      <c r="I8" s="343"/>
      <c r="J8" s="344" t="str">
        <f>VLOOKUP(K8,'radky_CF'!A:K,11,0)</f>
        <v>Stav peněžních prostředků a peněžních ekvivalentů na začátku účetního období</v>
      </c>
      <c r="K8" s="345">
        <v>1</v>
      </c>
      <c r="L8" s="346">
        <f>SUMIF('CF calc'!A:A,K8,'CF calc'!AK:AK)</f>
        <v>0</v>
      </c>
      <c r="M8" s="347"/>
      <c r="N8" s="125"/>
      <c r="O8" s="125"/>
    </row>
    <row r="9" spans="1:15" s="250" customFormat="1" ht="25.2" x14ac:dyDescent="0.5">
      <c r="A9" s="247"/>
      <c r="B9" s="248"/>
      <c r="C9" s="247"/>
      <c r="D9" s="247"/>
      <c r="E9" s="247"/>
      <c r="F9" s="258"/>
      <c r="G9" s="328"/>
      <c r="H9" s="329"/>
      <c r="I9" s="330" t="s">
        <v>262</v>
      </c>
      <c r="J9" s="331" t="str">
        <f>VLOOKUP(K9,'radky_CF'!A:K,11,0)</f>
        <v>PENĚŽNÍ TOKY Z HLAVNÍ VÝDĚLEČNÉ ČINNOSTI</v>
      </c>
      <c r="K9" s="340">
        <v>2</v>
      </c>
      <c r="L9" s="333">
        <f>SUMIF('CF calc'!A:A,K9,'CF calc'!AK:AK)</f>
        <v>0</v>
      </c>
      <c r="M9" s="334"/>
    </row>
    <row r="10" spans="1:15" ht="25.2" x14ac:dyDescent="0.3">
      <c r="F10" s="257"/>
      <c r="G10" s="133" t="s">
        <v>765</v>
      </c>
      <c r="H10" s="140"/>
      <c r="I10" s="149"/>
      <c r="J10" s="117" t="str">
        <f>VLOOKUP(K10,'radky_CF'!A:K,11,0)</f>
        <v>Účetní zisk nebo ztráta z běžné činnosti před zdaněním</v>
      </c>
      <c r="K10" s="134">
        <v>3</v>
      </c>
      <c r="L10" s="135">
        <f>SUMIF('CF calc'!A:A,K10,'CF calc'!AK:AK)</f>
        <v>0</v>
      </c>
      <c r="M10" s="136">
        <f>VYSLEDOVKA!N60+VYSLEDOVKA!N57</f>
        <v>0</v>
      </c>
      <c r="N10" s="125"/>
      <c r="O10" s="125"/>
    </row>
    <row r="11" spans="1:15" ht="25.2" x14ac:dyDescent="0.3">
      <c r="F11" s="257"/>
      <c r="G11" s="213" t="s">
        <v>239</v>
      </c>
      <c r="H11" s="210" t="s">
        <v>242</v>
      </c>
      <c r="I11" s="211"/>
      <c r="J11" s="78" t="str">
        <f>VLOOKUP(K11,'radky_CF'!A:K,11,0)</f>
        <v>Úpravy o nepeněžní operace</v>
      </c>
      <c r="K11" s="212">
        <v>4</v>
      </c>
      <c r="L11" s="101">
        <f>SUMIF('CF calc'!A:A,K11,'CF calc'!AK:AK)</f>
        <v>0</v>
      </c>
      <c r="M11" s="80">
        <f>SUM(M12:M17)</f>
        <v>0</v>
      </c>
      <c r="N11" s="125"/>
      <c r="O11" s="125"/>
    </row>
    <row r="12" spans="1:15" ht="25.2" x14ac:dyDescent="0.3">
      <c r="F12" s="257"/>
      <c r="G12" s="81" t="s">
        <v>239</v>
      </c>
      <c r="H12" s="82" t="s">
        <v>242</v>
      </c>
      <c r="I12" s="82" t="s">
        <v>242</v>
      </c>
      <c r="J12" s="83" t="str">
        <f>VLOOKUP(K12,'radky_CF'!A:K,11,0)</f>
        <v>Odpisy stálých  aktiv</v>
      </c>
      <c r="K12" s="139">
        <v>5</v>
      </c>
      <c r="L12" s="84">
        <f>SUMIF('CF calc'!A:A,K12,'CF calc'!AK:AK)</f>
        <v>0</v>
      </c>
      <c r="M12" s="263"/>
      <c r="N12" s="125"/>
      <c r="O12" s="125"/>
    </row>
    <row r="13" spans="1:15" ht="25.2" x14ac:dyDescent="0.3">
      <c r="F13" s="257"/>
      <c r="G13" s="81" t="s">
        <v>239</v>
      </c>
      <c r="H13" s="82" t="s">
        <v>242</v>
      </c>
      <c r="I13" s="82" t="s">
        <v>243</v>
      </c>
      <c r="J13" s="83" t="str">
        <f>VLOOKUP(K13,'radky_CF'!A:K,11,0)</f>
        <v>Změna stavu opravných položek a rezerv</v>
      </c>
      <c r="K13" s="139">
        <v>6</v>
      </c>
      <c r="L13" s="84">
        <f>SUMIF('CF calc'!A:A,K13,'CF calc'!AK:AK)</f>
        <v>0</v>
      </c>
      <c r="M13" s="263"/>
      <c r="N13" s="125"/>
      <c r="O13" s="125"/>
    </row>
    <row r="14" spans="1:15" ht="25.2" x14ac:dyDescent="0.3">
      <c r="F14" s="257"/>
      <c r="G14" s="81" t="s">
        <v>239</v>
      </c>
      <c r="H14" s="82" t="s">
        <v>242</v>
      </c>
      <c r="I14" s="82" t="s">
        <v>244</v>
      </c>
      <c r="J14" s="83" t="str">
        <f>VLOOKUP(K14,'radky_CF'!A:K,11,0)</f>
        <v>Zisk(-) ztráta(+) z prodeje stálých aktiv</v>
      </c>
      <c r="K14" s="139">
        <v>7</v>
      </c>
      <c r="L14" s="84">
        <f>SUMIF('CF calc'!A:A,K14,'CF calc'!AK:AK)</f>
        <v>0</v>
      </c>
      <c r="M14" s="263"/>
      <c r="N14" s="125"/>
      <c r="O14" s="125"/>
    </row>
    <row r="15" spans="1:15" ht="25.2" x14ac:dyDescent="0.3">
      <c r="F15" s="257"/>
      <c r="G15" s="81" t="s">
        <v>239</v>
      </c>
      <c r="H15" s="82" t="s">
        <v>242</v>
      </c>
      <c r="I15" s="82" t="s">
        <v>245</v>
      </c>
      <c r="J15" s="83" t="str">
        <f>VLOOKUP(K15,'radky_CF'!A:K,11,0)</f>
        <v>Výnosy z dividend a podílu na zisku</v>
      </c>
      <c r="K15" s="139">
        <v>8</v>
      </c>
      <c r="L15" s="84">
        <f>SUMIF('CF calc'!A:A,K15,'CF calc'!AK:AK)</f>
        <v>0</v>
      </c>
      <c r="M15" s="263"/>
      <c r="N15" s="125"/>
      <c r="O15" s="125"/>
    </row>
    <row r="16" spans="1:15" ht="25.2" x14ac:dyDescent="0.3">
      <c r="F16" s="257"/>
      <c r="G16" s="81" t="s">
        <v>239</v>
      </c>
      <c r="H16" s="82" t="s">
        <v>242</v>
      </c>
      <c r="I16" s="82" t="s">
        <v>246</v>
      </c>
      <c r="J16" s="83" t="str">
        <f>VLOOKUP(K16,'radky_CF'!A:K,11,0)</f>
        <v>Vyúčtované nákladové a výnosové úroky</v>
      </c>
      <c r="K16" s="139">
        <v>9</v>
      </c>
      <c r="L16" s="84">
        <f>SUMIF('CF calc'!A:A,K16,'CF calc'!AK:AK)</f>
        <v>0</v>
      </c>
      <c r="M16" s="263"/>
      <c r="N16" s="125"/>
      <c r="O16" s="125"/>
    </row>
    <row r="17" spans="1:15" ht="25.2" x14ac:dyDescent="0.3">
      <c r="F17" s="257"/>
      <c r="G17" s="89" t="s">
        <v>239</v>
      </c>
      <c r="H17" s="90" t="s">
        <v>242</v>
      </c>
      <c r="I17" s="91" t="s">
        <v>247</v>
      </c>
      <c r="J17" s="92" t="str">
        <f>VLOOKUP(K17,'radky_CF'!A:K,11,0)</f>
        <v>Případné úpravy o ostatní nepeněžní operace</v>
      </c>
      <c r="K17" s="120">
        <v>10</v>
      </c>
      <c r="L17" s="93">
        <f>SUMIF('CF calc'!A:A,K17,'CF calc'!AK:AK)</f>
        <v>0</v>
      </c>
      <c r="M17" s="264"/>
      <c r="N17" s="125"/>
      <c r="O17" s="125"/>
    </row>
    <row r="18" spans="1:15" s="262" customFormat="1" ht="27.6" x14ac:dyDescent="0.3">
      <c r="A18" s="259"/>
      <c r="B18" s="260"/>
      <c r="C18" s="259"/>
      <c r="D18" s="259"/>
      <c r="E18" s="259"/>
      <c r="F18" s="261"/>
      <c r="G18" s="219" t="s">
        <v>239</v>
      </c>
      <c r="H18" s="220" t="s">
        <v>263</v>
      </c>
      <c r="I18" s="221" t="s">
        <v>866</v>
      </c>
      <c r="J18" s="222" t="str">
        <f>VLOOKUP(K18,'radky_CF'!A:K,11,0)</f>
        <v>Čistý peněžní tok z provozní činnosti
před zdaněním, změnami pracovního kapitálu a mimořádnými položkami</v>
      </c>
      <c r="K18" s="223">
        <v>11</v>
      </c>
      <c r="L18" s="224">
        <f>SUMIF('CF calc'!A:A,K18,'CF calc'!AK:AK)</f>
        <v>0</v>
      </c>
      <c r="M18" s="225">
        <f>M10+M11</f>
        <v>0</v>
      </c>
    </row>
    <row r="19" spans="1:15" ht="25.2" x14ac:dyDescent="0.3">
      <c r="F19" s="257"/>
      <c r="G19" s="213" t="s">
        <v>239</v>
      </c>
      <c r="H19" s="210" t="s">
        <v>243</v>
      </c>
      <c r="I19" s="211"/>
      <c r="J19" s="78" t="str">
        <f>VLOOKUP(K19,'radky_CF'!A:K,11,0)</f>
        <v>Změna stavu nepeněžních položek pracovního kapitálu</v>
      </c>
      <c r="K19" s="212">
        <v>12</v>
      </c>
      <c r="L19" s="101">
        <f>SUMIF('CF calc'!A:A,K19,'CF calc'!AK:AK)</f>
        <v>0</v>
      </c>
      <c r="M19" s="80">
        <f>SUM(M20:M23)</f>
        <v>0</v>
      </c>
      <c r="N19" s="125"/>
      <c r="O19" s="125"/>
    </row>
    <row r="20" spans="1:15" ht="25.2" x14ac:dyDescent="0.3">
      <c r="F20" s="257"/>
      <c r="G20" s="81" t="s">
        <v>239</v>
      </c>
      <c r="H20" s="82" t="s">
        <v>243</v>
      </c>
      <c r="I20" s="82" t="s">
        <v>242</v>
      </c>
      <c r="J20" s="83" t="str">
        <f>VLOOKUP(K20,'radky_CF'!A:K,11,0)</f>
        <v>Změna stavu pohledávek z provoz. činnosti a aktivních účtů čas. rozlišení</v>
      </c>
      <c r="K20" s="139">
        <v>13</v>
      </c>
      <c r="L20" s="84">
        <f>SUMIF('CF calc'!A:A,K20,'CF calc'!AK:AK)</f>
        <v>0</v>
      </c>
      <c r="M20" s="263"/>
      <c r="N20" s="125"/>
      <c r="O20" s="125"/>
    </row>
    <row r="21" spans="1:15" ht="25.2" x14ac:dyDescent="0.3">
      <c r="F21" s="257"/>
      <c r="G21" s="81" t="s">
        <v>239</v>
      </c>
      <c r="H21" s="82" t="s">
        <v>243</v>
      </c>
      <c r="I21" s="82" t="s">
        <v>243</v>
      </c>
      <c r="J21" s="83" t="str">
        <f>VLOOKUP(K21,'radky_CF'!A:K,11,0)</f>
        <v>Změna stavu krátkodobých závazků z provoz. činnosti a pasivních účtů čas. rozlišení</v>
      </c>
      <c r="K21" s="139">
        <v>14</v>
      </c>
      <c r="L21" s="84">
        <f>SUMIF('CF calc'!A:A,K21,'CF calc'!AK:AK)</f>
        <v>0</v>
      </c>
      <c r="M21" s="263"/>
      <c r="N21" s="125"/>
      <c r="O21" s="125"/>
    </row>
    <row r="22" spans="1:15" ht="25.2" x14ac:dyDescent="0.3">
      <c r="F22" s="257"/>
      <c r="G22" s="81" t="s">
        <v>239</v>
      </c>
      <c r="H22" s="82" t="s">
        <v>243</v>
      </c>
      <c r="I22" s="82" t="s">
        <v>244</v>
      </c>
      <c r="J22" s="83" t="str">
        <f>VLOOKUP(K22,'radky_CF'!A:K,11,0)</f>
        <v xml:space="preserve">Změna stavu zásob </v>
      </c>
      <c r="K22" s="139">
        <v>15</v>
      </c>
      <c r="L22" s="84">
        <f>SUMIF('CF calc'!A:A,K22,'CF calc'!AK:AK)</f>
        <v>0</v>
      </c>
      <c r="M22" s="263"/>
      <c r="N22" s="125"/>
      <c r="O22" s="125"/>
    </row>
    <row r="23" spans="1:15" ht="25.2" x14ac:dyDescent="0.3">
      <c r="F23" s="257"/>
      <c r="G23" s="81" t="s">
        <v>239</v>
      </c>
      <c r="H23" s="82" t="s">
        <v>243</v>
      </c>
      <c r="I23" s="82" t="s">
        <v>245</v>
      </c>
      <c r="J23" s="83" t="str">
        <f>VLOOKUP(K23,'radky_CF'!A:K,11,0)</f>
        <v>Změna stavu krátkodobého fin. majetku, který není zahrnut do peněžních prostředků</v>
      </c>
      <c r="K23" s="139">
        <v>16</v>
      </c>
      <c r="L23" s="84">
        <f>SUMIF('CF calc'!A:A,K23,'CF calc'!AK:AK)</f>
        <v>0</v>
      </c>
      <c r="M23" s="263"/>
      <c r="N23" s="125"/>
      <c r="O23" s="125"/>
    </row>
    <row r="24" spans="1:15" ht="25.2" x14ac:dyDescent="0.3">
      <c r="F24" s="257"/>
      <c r="G24" s="219" t="s">
        <v>239</v>
      </c>
      <c r="H24" s="220" t="s">
        <v>336</v>
      </c>
      <c r="I24" s="221"/>
      <c r="J24" s="222" t="str">
        <f>VLOOKUP(K24,'radky_CF'!A:K,11,0)</f>
        <v>Čistý peněžní tok z provozní činnosti před zdaněním a mimořádnými položkami</v>
      </c>
      <c r="K24" s="223">
        <v>17</v>
      </c>
      <c r="L24" s="224">
        <f>SUMIF('CF calc'!A:A,K24,'CF calc'!AK:AK)</f>
        <v>0</v>
      </c>
      <c r="M24" s="225">
        <f>M18+M19</f>
        <v>0</v>
      </c>
    </row>
    <row r="25" spans="1:15" ht="26.25" customHeight="1" x14ac:dyDescent="0.3">
      <c r="F25" s="257"/>
      <c r="G25" s="81" t="s">
        <v>239</v>
      </c>
      <c r="H25" s="82" t="s">
        <v>244</v>
      </c>
      <c r="I25" s="82"/>
      <c r="J25" s="83" t="str">
        <f>VLOOKUP(K25,'radky_CF'!A:K,11,0)</f>
        <v>Vyplacené úroky s výjimkou kapitalizovaných úroků</v>
      </c>
      <c r="K25" s="139">
        <v>18</v>
      </c>
      <c r="L25" s="84">
        <f>SUMIF('CF calc'!A:A,K25,'CF calc'!AK:AK)</f>
        <v>0</v>
      </c>
      <c r="M25" s="263"/>
    </row>
    <row r="26" spans="1:15" ht="25.2" x14ac:dyDescent="0.3">
      <c r="F26" s="257"/>
      <c r="G26" s="81" t="s">
        <v>239</v>
      </c>
      <c r="H26" s="82" t="s">
        <v>245</v>
      </c>
      <c r="I26" s="82"/>
      <c r="J26" s="83" t="str">
        <f>VLOOKUP(K26,'radky_CF'!A:K,11,0)</f>
        <v>Přijaté úroky</v>
      </c>
      <c r="K26" s="139">
        <v>19</v>
      </c>
      <c r="L26" s="84">
        <f>SUMIF('CF calc'!A:A,K26,'CF calc'!AK:AK)</f>
        <v>0</v>
      </c>
      <c r="M26" s="263"/>
    </row>
    <row r="27" spans="1:15" ht="25.2" x14ac:dyDescent="0.3">
      <c r="F27" s="257"/>
      <c r="G27" s="81" t="s">
        <v>239</v>
      </c>
      <c r="H27" s="82" t="s">
        <v>246</v>
      </c>
      <c r="I27" s="82"/>
      <c r="J27" s="83" t="str">
        <f>VLOOKUP(K27,'radky_CF'!A:K,11,0)</f>
        <v xml:space="preserve">Zaplacená daň z příjmů za běžnou činnost a doměrky daně za minulá období </v>
      </c>
      <c r="K27" s="139">
        <v>20</v>
      </c>
      <c r="L27" s="84">
        <f>SUMIF('CF calc'!A:A,K27,'CF calc'!AK:AK)</f>
        <v>0</v>
      </c>
      <c r="M27" s="263"/>
    </row>
    <row r="28" spans="1:15" ht="25.2" x14ac:dyDescent="0.3">
      <c r="F28" s="257"/>
      <c r="G28" s="81" t="s">
        <v>239</v>
      </c>
      <c r="H28" s="82" t="s">
        <v>247</v>
      </c>
      <c r="I28" s="82"/>
      <c r="J28" s="83" t="str">
        <f>VLOOKUP(K28,'radky_CF'!A:K,11,0)</f>
        <v>Příjmy a výdaje spojené s mimořádnými účetními případy</v>
      </c>
      <c r="K28" s="139">
        <v>21</v>
      </c>
      <c r="L28" s="84">
        <f>SUMIF('CF calc'!A:A,K28,'CF calc'!AK:AK)</f>
        <v>0</v>
      </c>
      <c r="M28" s="263"/>
    </row>
    <row r="29" spans="1:15" ht="25.2" x14ac:dyDescent="0.3">
      <c r="F29" s="257"/>
      <c r="G29" s="81" t="s">
        <v>239</v>
      </c>
      <c r="H29" s="82" t="s">
        <v>248</v>
      </c>
      <c r="I29" s="82"/>
      <c r="J29" s="83" t="str">
        <f>VLOOKUP(K29,'radky_CF'!A:K,11,0)</f>
        <v>Přijaté dividendy a podíly na zisku</v>
      </c>
      <c r="K29" s="139">
        <v>22</v>
      </c>
      <c r="L29" s="84">
        <f>SUMIF('CF calc'!A:A,K29,'CF calc'!AK:AK)</f>
        <v>0</v>
      </c>
      <c r="M29" s="263"/>
    </row>
    <row r="30" spans="1:15" ht="25.8" thickBot="1" x14ac:dyDescent="0.35">
      <c r="F30" s="257"/>
      <c r="G30" s="234" t="s">
        <v>239</v>
      </c>
      <c r="H30" s="235" t="s">
        <v>337</v>
      </c>
      <c r="I30" s="233"/>
      <c r="J30" s="335" t="str">
        <f>VLOOKUP(K30,'radky_CF'!A:K,11,0)</f>
        <v>Čistý peněžní tok z provozní činnosti</v>
      </c>
      <c r="K30" s="339">
        <v>23</v>
      </c>
      <c r="L30" s="337">
        <f>SUMIF('CF calc'!A:A,K30,'CF calc'!AK:AK)</f>
        <v>0</v>
      </c>
      <c r="M30" s="338">
        <f>SUM(M24:M29)</f>
        <v>0</v>
      </c>
    </row>
    <row r="31" spans="1:15" ht="25.2" x14ac:dyDescent="0.35">
      <c r="F31" s="257"/>
      <c r="G31" s="328"/>
      <c r="H31" s="329"/>
      <c r="I31" s="330"/>
      <c r="J31" s="331" t="str">
        <f>VLOOKUP(K31,'radky_CF'!A:K,11,0)</f>
        <v>PENĚŽNÍ TOKY S INVESTIČNÍ ČINNOSTI</v>
      </c>
      <c r="K31" s="332">
        <v>24</v>
      </c>
      <c r="L31" s="333">
        <f>SUMIF('CF calc'!A:A,K31,'CF calc'!AK:AK)</f>
        <v>0</v>
      </c>
      <c r="M31" s="334"/>
    </row>
    <row r="32" spans="1:15" ht="25.2" x14ac:dyDescent="0.3">
      <c r="F32" s="257"/>
      <c r="G32" s="81" t="s">
        <v>240</v>
      </c>
      <c r="H32" s="82" t="s">
        <v>242</v>
      </c>
      <c r="I32" s="82"/>
      <c r="J32" s="83" t="str">
        <f>VLOOKUP(K32,'radky_CF'!A:K,11,0)</f>
        <v>Výdaje spojené s nabytím stálých aktiv</v>
      </c>
      <c r="K32" s="139">
        <v>25</v>
      </c>
      <c r="L32" s="84">
        <f>SUMIF('CF calc'!A:A,K32,'CF calc'!AK:AK)</f>
        <v>0</v>
      </c>
      <c r="M32" s="263"/>
    </row>
    <row r="33" spans="6:15" ht="25.2" x14ac:dyDescent="0.3">
      <c r="F33" s="257"/>
      <c r="G33" s="81" t="s">
        <v>240</v>
      </c>
      <c r="H33" s="82" t="s">
        <v>243</v>
      </c>
      <c r="I33" s="82"/>
      <c r="J33" s="83" t="str">
        <f>VLOOKUP(K33,'radky_CF'!A:K,11,0)</f>
        <v>Příjmy z prodeje stálých aktiv</v>
      </c>
      <c r="K33" s="139">
        <v>26</v>
      </c>
      <c r="L33" s="84">
        <f>SUMIF('CF calc'!A:A,K33,'CF calc'!AK:AK)</f>
        <v>0</v>
      </c>
      <c r="M33" s="263"/>
    </row>
    <row r="34" spans="6:15" ht="25.2" x14ac:dyDescent="0.3">
      <c r="F34" s="257"/>
      <c r="G34" s="81" t="s">
        <v>240</v>
      </c>
      <c r="H34" s="82" t="s">
        <v>244</v>
      </c>
      <c r="I34" s="82"/>
      <c r="J34" s="83" t="str">
        <f>VLOOKUP(K34,'radky_CF'!A:K,11,0)</f>
        <v>Půjčky a úvěry spřízněným osobám</v>
      </c>
      <c r="K34" s="139">
        <v>27</v>
      </c>
      <c r="L34" s="84">
        <f>SUMIF('CF calc'!A:A,K34,'CF calc'!AK:AK)</f>
        <v>0</v>
      </c>
      <c r="M34" s="263"/>
    </row>
    <row r="35" spans="6:15" ht="25.8" thickBot="1" x14ac:dyDescent="0.35">
      <c r="F35" s="257"/>
      <c r="G35" s="234" t="s">
        <v>240</v>
      </c>
      <c r="H35" s="235" t="s">
        <v>337</v>
      </c>
      <c r="I35" s="233"/>
      <c r="J35" s="335" t="str">
        <f>VLOOKUP(K35,'radky_CF'!A:K,11,0)</f>
        <v>Čistý peněžní tok vztahující se k investiční činnosti</v>
      </c>
      <c r="K35" s="336">
        <v>28</v>
      </c>
      <c r="L35" s="337">
        <f>SUMIF('CF calc'!A:A,K35,'CF calc'!AK:AK)</f>
        <v>0</v>
      </c>
      <c r="M35" s="338">
        <f>SUM(M32:M34)</f>
        <v>0</v>
      </c>
    </row>
    <row r="36" spans="6:15" ht="25.2" x14ac:dyDescent="0.35">
      <c r="F36" s="257"/>
      <c r="G36" s="328"/>
      <c r="H36" s="329"/>
      <c r="I36" s="330"/>
      <c r="J36" s="331" t="str">
        <f>VLOOKUP(K36,'radky_CF'!A:K,11,0)</f>
        <v>PENĚŽNÍ TOKY Z FINANČNÍCH ČINNOSTÍ</v>
      </c>
      <c r="K36" s="332">
        <v>29</v>
      </c>
      <c r="L36" s="333">
        <f>SUMIF('CF calc'!A:A,K36,'CF calc'!AK:AK)</f>
        <v>0</v>
      </c>
      <c r="M36" s="334"/>
    </row>
    <row r="37" spans="6:15" ht="25.2" x14ac:dyDescent="0.3">
      <c r="F37" s="257"/>
      <c r="G37" s="213" t="s">
        <v>265</v>
      </c>
      <c r="H37" s="210" t="s">
        <v>242</v>
      </c>
      <c r="I37" s="210"/>
      <c r="J37" s="97" t="str">
        <f>VLOOKUP(K37,'radky_CF'!A:K,11,0)</f>
        <v>Dopady změn dlouhodobých, popř. krátkodobých závazků z finanční oblasti</v>
      </c>
      <c r="K37" s="232">
        <v>30</v>
      </c>
      <c r="L37" s="98">
        <f>SUMIF('CF calc'!A:A,K37,'CF calc'!AK:AK)</f>
        <v>0</v>
      </c>
      <c r="M37" s="266"/>
    </row>
    <row r="38" spans="6:15" ht="25.2" x14ac:dyDescent="0.3">
      <c r="F38" s="257"/>
      <c r="G38" s="213" t="s">
        <v>265</v>
      </c>
      <c r="H38" s="210" t="s">
        <v>243</v>
      </c>
      <c r="I38" s="211"/>
      <c r="J38" s="78" t="str">
        <f>VLOOKUP(K38,'radky_CF'!A:K,11,0)</f>
        <v>Dopady změn vlastního kapitálu na peněžní prostředky</v>
      </c>
      <c r="K38" s="212">
        <v>31</v>
      </c>
      <c r="L38" s="101">
        <f>SUMIF('CF calc'!A:A,K38,'CF calc'!AK:AK)</f>
        <v>0</v>
      </c>
      <c r="M38" s="80">
        <f>SUM(M39:M44)</f>
        <v>0</v>
      </c>
    </row>
    <row r="39" spans="6:15" ht="25.2" x14ac:dyDescent="0.3">
      <c r="F39" s="257"/>
      <c r="G39" s="81" t="s">
        <v>265</v>
      </c>
      <c r="H39" s="82" t="s">
        <v>243</v>
      </c>
      <c r="I39" s="82" t="s">
        <v>242</v>
      </c>
      <c r="J39" s="83" t="str">
        <f>VLOOKUP(K39,'radky_CF'!A:K,11,0)</f>
        <v>Zvýšení základního kapitálu, emisního ážia  event. rezervního fondu</v>
      </c>
      <c r="K39" s="139">
        <v>32</v>
      </c>
      <c r="L39" s="84">
        <f>SUMIF('CF calc'!A:A,K39,'CF calc'!AK:AK)</f>
        <v>0</v>
      </c>
      <c r="M39" s="263"/>
    </row>
    <row r="40" spans="6:15" ht="25.2" x14ac:dyDescent="0.3">
      <c r="F40" s="257"/>
      <c r="G40" s="81" t="s">
        <v>265</v>
      </c>
      <c r="H40" s="82" t="s">
        <v>243</v>
      </c>
      <c r="I40" s="82" t="s">
        <v>243</v>
      </c>
      <c r="J40" s="83" t="str">
        <f>VLOOKUP(K40,'radky_CF'!A:K,11,0)</f>
        <v>Vyplacení podílu na vlastním kapitálu společníkům</v>
      </c>
      <c r="K40" s="139">
        <v>33</v>
      </c>
      <c r="L40" s="84">
        <f>SUMIF('CF calc'!A:A,K40,'CF calc'!AK:AK)</f>
        <v>0</v>
      </c>
      <c r="M40" s="263"/>
      <c r="N40" s="125"/>
      <c r="O40" s="125"/>
    </row>
    <row r="41" spans="6:15" ht="25.2" x14ac:dyDescent="0.3">
      <c r="F41" s="257"/>
      <c r="G41" s="81" t="s">
        <v>265</v>
      </c>
      <c r="H41" s="82" t="s">
        <v>243</v>
      </c>
      <c r="I41" s="82" t="s">
        <v>244</v>
      </c>
      <c r="J41" s="83" t="str">
        <f>VLOOKUP(K41,'radky_CF'!A:K,11,0)</f>
        <v xml:space="preserve">Další vklady peněžních prostředků společníků a akcionářů </v>
      </c>
      <c r="K41" s="139">
        <v>34</v>
      </c>
      <c r="L41" s="84">
        <f>SUMIF('CF calc'!A:A,K41,'CF calc'!AK:AK)</f>
        <v>0</v>
      </c>
      <c r="M41" s="263"/>
      <c r="N41" s="125"/>
      <c r="O41" s="125"/>
    </row>
    <row r="42" spans="6:15" ht="25.2" x14ac:dyDescent="0.3">
      <c r="F42" s="257"/>
      <c r="G42" s="81" t="s">
        <v>265</v>
      </c>
      <c r="H42" s="82" t="s">
        <v>243</v>
      </c>
      <c r="I42" s="82" t="s">
        <v>245</v>
      </c>
      <c r="J42" s="83" t="str">
        <f>VLOOKUP(K42,'radky_CF'!A:K,11,0)</f>
        <v>Úhrada ztráty společníky</v>
      </c>
      <c r="K42" s="139">
        <v>35</v>
      </c>
      <c r="L42" s="84">
        <f>SUMIF('CF calc'!A:A,K42,'CF calc'!AK:AK)</f>
        <v>0</v>
      </c>
      <c r="M42" s="263"/>
      <c r="N42" s="793" t="s">
        <v>620</v>
      </c>
      <c r="O42" s="267"/>
    </row>
    <row r="43" spans="6:15" ht="25.2" x14ac:dyDescent="0.3">
      <c r="F43" s="257"/>
      <c r="G43" s="81" t="s">
        <v>265</v>
      </c>
      <c r="H43" s="82" t="s">
        <v>243</v>
      </c>
      <c r="I43" s="82" t="s">
        <v>246</v>
      </c>
      <c r="J43" s="83" t="str">
        <f>VLOOKUP(K43,'radky_CF'!A:K,11,0)</f>
        <v>Přímé platby na vrub fondů</v>
      </c>
      <c r="K43" s="139">
        <v>36</v>
      </c>
      <c r="L43" s="84">
        <f>SUMIF('CF calc'!A:A,K43,'CF calc'!AK:AK)</f>
        <v>0</v>
      </c>
      <c r="M43" s="263"/>
      <c r="N43" s="793"/>
      <c r="O43" s="267"/>
    </row>
    <row r="44" spans="6:15" ht="25.2" x14ac:dyDescent="0.3">
      <c r="F44" s="257"/>
      <c r="G44" s="81" t="s">
        <v>265</v>
      </c>
      <c r="H44" s="82" t="s">
        <v>243</v>
      </c>
      <c r="I44" s="82" t="s">
        <v>247</v>
      </c>
      <c r="J44" s="83" t="str">
        <f>VLOOKUP(K44,'radky_CF'!A:K,11,0)</f>
        <v>Vyplacené dividendy nebo podíly na zisku včetně zaplacené srážkové daně a tantiémy</v>
      </c>
      <c r="K44" s="139">
        <v>37</v>
      </c>
      <c r="L44" s="84">
        <f>SUMIF('CF calc'!A:A,K44,'CF calc'!AK:AK)</f>
        <v>0</v>
      </c>
      <c r="M44" s="263"/>
      <c r="N44" s="793"/>
      <c r="O44" s="267"/>
    </row>
    <row r="45" spans="6:15" ht="25.8" thickBot="1" x14ac:dyDescent="0.35">
      <c r="F45" s="257"/>
      <c r="G45" s="234" t="s">
        <v>265</v>
      </c>
      <c r="H45" s="235" t="s">
        <v>337</v>
      </c>
      <c r="I45" s="233"/>
      <c r="J45" s="335" t="str">
        <f>VLOOKUP(K45,'radky_CF'!A:K,11,0)</f>
        <v>Čistý peněžní tok vztahující se k finanční činnosti</v>
      </c>
      <c r="K45" s="339">
        <v>38</v>
      </c>
      <c r="L45" s="337">
        <f>SUMIF('CF calc'!A:A,K45,'CF calc'!AK:AK)</f>
        <v>0</v>
      </c>
      <c r="M45" s="338">
        <f>SUM(M37:M38)</f>
        <v>0</v>
      </c>
      <c r="N45" s="793"/>
      <c r="O45" s="267"/>
    </row>
    <row r="46" spans="6:15" ht="12" customHeight="1" x14ac:dyDescent="0.3">
      <c r="F46" s="257"/>
      <c r="G46" s="95"/>
      <c r="H46" s="96"/>
      <c r="I46" s="77"/>
      <c r="J46" s="348"/>
      <c r="K46" s="349"/>
      <c r="L46" s="350"/>
      <c r="M46" s="351"/>
      <c r="N46" s="793"/>
      <c r="O46" s="267"/>
    </row>
    <row r="47" spans="6:15" ht="25.8" thickBot="1" x14ac:dyDescent="0.35">
      <c r="F47" s="257"/>
      <c r="G47" s="245" t="s">
        <v>312</v>
      </c>
      <c r="H47" s="236"/>
      <c r="I47" s="236"/>
      <c r="J47" s="241" t="str">
        <f>VLOOKUP(K47,'radky_CF'!A:K,11,0)</f>
        <v>Čisté zvýšení nebo snížení peněžních prostředků</v>
      </c>
      <c r="K47" s="242">
        <v>39</v>
      </c>
      <c r="L47" s="243">
        <f>SUMIF('CF calc'!A:A,K47,'CF calc'!AK:AK)</f>
        <v>0</v>
      </c>
      <c r="M47" s="244">
        <f>M30+M35+M45</f>
        <v>0</v>
      </c>
      <c r="N47" s="793"/>
      <c r="O47" s="267"/>
    </row>
    <row r="48" spans="6:15" ht="12" customHeight="1" x14ac:dyDescent="0.3">
      <c r="F48" s="257"/>
      <c r="G48" s="214"/>
      <c r="H48" s="246"/>
      <c r="I48" s="246"/>
      <c r="J48" s="215"/>
      <c r="K48" s="216"/>
      <c r="L48" s="217"/>
      <c r="M48" s="218"/>
      <c r="N48" s="793"/>
      <c r="O48" s="267"/>
    </row>
    <row r="49" spans="6:15" ht="25.8" thickBot="1" x14ac:dyDescent="0.35">
      <c r="F49" s="257"/>
      <c r="G49" s="234" t="s">
        <v>334</v>
      </c>
      <c r="H49" s="235"/>
      <c r="I49" s="233"/>
      <c r="J49" s="237" t="str">
        <f>VLOOKUP(K49,'radky_CF'!A:K,11,0)</f>
        <v>Stav peněžních prostředků a peněžních ekvivalentů na konci účetního období</v>
      </c>
      <c r="K49" s="238">
        <v>40</v>
      </c>
      <c r="L49" s="239">
        <f>SUMIF('CF calc'!A:A,K49,'CF calc'!AK:AK)</f>
        <v>0</v>
      </c>
      <c r="M49" s="240">
        <f>L8</f>
        <v>0</v>
      </c>
      <c r="N49" s="793"/>
      <c r="O49" s="267"/>
    </row>
    <row r="50" spans="6:15" x14ac:dyDescent="0.3">
      <c r="M50" s="60"/>
    </row>
  </sheetData>
  <sheetProtection password="8F7F" sheet="1" objects="1" scenarios="1"/>
  <mergeCells count="5">
    <mergeCell ref="G5:I5"/>
    <mergeCell ref="L5:L6"/>
    <mergeCell ref="M5:M6"/>
    <mergeCell ref="G7:I7"/>
    <mergeCell ref="N42:N49"/>
  </mergeCells>
  <conditionalFormatting sqref="M8 M12:M17 M20:M23 M25:M29 M32:M34 M37 M39:M44">
    <cfRule type="containsBlanks" dxfId="100" priority="6">
      <formula>LEN(TRIM(M8))=0</formula>
    </cfRule>
  </conditionalFormatting>
  <pageMargins left="0.39370078740157483" right="0.39370078740157483" top="0.19685039370078741" bottom="0.39370078740157483" header="0" footer="0"/>
  <pageSetup paperSize="9" scale="65" fitToHeight="0" orientation="portrait" r:id="rId1"/>
  <headerFooter scaleWithDoc="0"/>
  <drawing r:id="rId2"/>
  <legacyDrawingHF r:id="rId3"/>
  <picture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16</vt:i4>
      </vt:variant>
      <vt:variant>
        <vt:lpstr>Pojmenované oblasti</vt:lpstr>
      </vt:variant>
      <vt:variant>
        <vt:i4>12</vt:i4>
      </vt:variant>
    </vt:vector>
  </HeadingPairs>
  <TitlesOfParts>
    <vt:vector size="28" baseType="lpstr">
      <vt:lpstr>postup</vt:lpstr>
      <vt:lpstr>INDEX</vt:lpstr>
      <vt:lpstr>DATA</vt:lpstr>
      <vt:lpstr>AKTIVA</vt:lpstr>
      <vt:lpstr>PASIVA</vt:lpstr>
      <vt:lpstr>VYSLEDOVKA</vt:lpstr>
      <vt:lpstr>proc_exc</vt:lpstr>
      <vt:lpstr>radky_R</vt:lpstr>
      <vt:lpstr>CASH FLOW</vt:lpstr>
      <vt:lpstr>CF calc</vt:lpstr>
      <vt:lpstr>p_analyza</vt:lpstr>
      <vt:lpstr>p_procesy</vt:lpstr>
      <vt:lpstr>MAP</vt:lpstr>
      <vt:lpstr>ucty_synt</vt:lpstr>
      <vt:lpstr>radky_V</vt:lpstr>
      <vt:lpstr>radky_CF</vt:lpstr>
      <vt:lpstr>jazyk</vt:lpstr>
      <vt:lpstr>AKTIVA!Názvy_tisku</vt:lpstr>
      <vt:lpstr>'CASH FLOW'!Názvy_tisku</vt:lpstr>
      <vt:lpstr>DATA!Názvy_tisku</vt:lpstr>
      <vt:lpstr>PASIVA!Názvy_tisku</vt:lpstr>
      <vt:lpstr>VYSLEDOVKA!Názvy_tisku</vt:lpstr>
      <vt:lpstr>AKTIVA!Oblast_tisku</vt:lpstr>
      <vt:lpstr>'CASH FLOW'!Oblast_tisku</vt:lpstr>
      <vt:lpstr>INDEX!Oblast_tisku</vt:lpstr>
      <vt:lpstr>PASIVA!Oblast_tisku</vt:lpstr>
      <vt:lpstr>VYSLEDOVKA!Oblast_tisku</vt:lpstr>
      <vt:lpstr>zaokr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Finanční výkazy 2013</dc:title>
  <dc:subject>Finanční výkazy 2013</dc:subject>
  <dc:creator>CB AUDIT s.r.o.</dc:creator>
  <cp:lastModifiedBy>Lucie Kozáková</cp:lastModifiedBy>
  <cp:lastPrinted>2019-09-06T08:40:18Z</cp:lastPrinted>
  <dcterms:created xsi:type="dcterms:W3CDTF">2008-02-14T07:20:01Z</dcterms:created>
  <dcterms:modified xsi:type="dcterms:W3CDTF">2025-11-22T21:02:02Z</dcterms:modified>
</cp:coreProperties>
</file>